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2"/>
  </bookViews>
  <sheets>
    <sheet name="Lista de recursos" sheetId="1" r:id="rId1"/>
    <sheet name="Analisis de costos" sheetId="2" r:id="rId2"/>
    <sheet name="Presupuesto" sheetId="3" r:id="rId3"/>
    <sheet name="Analisis electricos" sheetId="4" r:id="rId4"/>
  </sheets>
  <externalReferences>
    <externalReference r:id="rId7"/>
  </externalReferences>
  <definedNames>
    <definedName name="\6">#REF!</definedName>
    <definedName name="\A">#REF!</definedName>
    <definedName name="\E">#REF!</definedName>
    <definedName name="\I">#REF!</definedName>
    <definedName name="\M">#REF!</definedName>
    <definedName name="\N">#REF!</definedName>
    <definedName name="\O">#REF!</definedName>
    <definedName name="\U">#REF!</definedName>
    <definedName name="ANAL_REV.CER">#REF!</definedName>
    <definedName name="especificaciones" localSheetId="1">'Analisis de costos'!$B$761</definedName>
    <definedName name="HOLA">#REF!</definedName>
    <definedName name="IMPERM.">#REF!</definedName>
    <definedName name="MAT_ACERO">#REF!</definedName>
    <definedName name="MAT_AGREGADOS">#REF!</definedName>
    <definedName name="MAT_BLOQUES">#REF!</definedName>
    <definedName name="MAT_CARP.">#REF!</definedName>
    <definedName name="MAT_CEMENTOS">#REF!</definedName>
    <definedName name="MAT_CERRAJ.">#REF!</definedName>
    <definedName name="MAT_HORM._I">#REF!</definedName>
    <definedName name="MAT_MOVTO_TIERR">#REF!</definedName>
    <definedName name="MAT_PINTURA">#REF!</definedName>
    <definedName name="MAT_PINTURAS">#REF!</definedName>
    <definedName name="MAT_PLAFONES">#REF!</definedName>
    <definedName name="MAT_REVEST.">#REF!</definedName>
    <definedName name="MAT_VENTANAS">#REF!</definedName>
    <definedName name="OBRA_MANO">#REF!</definedName>
    <definedName name="PRES_DESAGUES">#REF!</definedName>
    <definedName name="PRES_ESCALERAS">#REF!</definedName>
    <definedName name="PRES_FINO">#REF!</definedName>
    <definedName name="PRES_GASTOS">#REF!</definedName>
    <definedName name="PRES_HORMIGON">#REF!</definedName>
    <definedName name="PRES_M._TIERRAS">#REF!</definedName>
    <definedName name="PRES_MISCEL.">#REF!</definedName>
    <definedName name="PRES_MUROS">#REF!</definedName>
    <definedName name="PRES_OTROS">#REF!</definedName>
    <definedName name="PRES_PAÑETE">#REF!</definedName>
    <definedName name="PRES_PINTURAS">#REF!</definedName>
    <definedName name="PRES_PISOS">#REF!</definedName>
    <definedName name="PRES_PLAFONES">#REF!</definedName>
    <definedName name="PRES_REPLANTEO">#REF!</definedName>
    <definedName name="PRES_REVEST.">#REF!</definedName>
    <definedName name="PRES_TOTAL">#REF!</definedName>
    <definedName name="PRES_VENTANAS">#REF!</definedName>
    <definedName name="_xlnm.Print_Area" localSheetId="1">'Analisis de costos'!$A$1:$H$879</definedName>
    <definedName name="_xlnm.Print_Area" localSheetId="3">'Analisis electricos'!$A$1:$I$324</definedName>
    <definedName name="_xlnm.Print_Area" localSheetId="0">'Lista de recursos'!$A$1:$F$237</definedName>
    <definedName name="_xlnm.Print_Area" localSheetId="2">'Presupuesto'!$A$1:$G$126</definedName>
    <definedName name="_xlnm.Print_Titles" localSheetId="1">'Analisis de costos'!$1:$9</definedName>
    <definedName name="_xlnm.Print_Titles" localSheetId="3">'Analisis electricos'!$1:$8</definedName>
    <definedName name="_xlnm.Print_Titles" localSheetId="0">'Lista de recursos'!$1:$8</definedName>
    <definedName name="_xlnm.Print_Titles" localSheetId="2">'Presupuesto'!$1:$9</definedName>
    <definedName name="q">#REF!</definedName>
    <definedName name="w">#REF!</definedName>
  </definedNames>
  <calcPr fullCalcOnLoad="1"/>
</workbook>
</file>

<file path=xl/sharedStrings.xml><?xml version="1.0" encoding="utf-8"?>
<sst xmlns="http://schemas.openxmlformats.org/spreadsheetml/2006/main" count="2395" uniqueCount="840">
  <si>
    <t>Descripción</t>
  </si>
  <si>
    <t>Und.</t>
  </si>
  <si>
    <t>Cantidad</t>
  </si>
  <si>
    <t>Valor</t>
  </si>
  <si>
    <t>M3</t>
  </si>
  <si>
    <t>Bote de material excedente de excavaciones</t>
  </si>
  <si>
    <t>Relleno de reposición</t>
  </si>
  <si>
    <t>m3</t>
  </si>
  <si>
    <t>m2</t>
  </si>
  <si>
    <t>Pañetes sobre muros</t>
  </si>
  <si>
    <t>Pañetes sobre superficies de hormigon</t>
  </si>
  <si>
    <t>Cantos</t>
  </si>
  <si>
    <t>ml</t>
  </si>
  <si>
    <t>M2</t>
  </si>
  <si>
    <t>Ml</t>
  </si>
  <si>
    <t>und</t>
  </si>
  <si>
    <t>Trampa de grasa</t>
  </si>
  <si>
    <t>unid</t>
  </si>
  <si>
    <t>Pozo filtrante</t>
  </si>
  <si>
    <t>Pintura acrilica</t>
  </si>
  <si>
    <t>p.a.</t>
  </si>
  <si>
    <t>pa</t>
  </si>
  <si>
    <t>Replanteo</t>
  </si>
  <si>
    <t>Caseta de materiales</t>
  </si>
  <si>
    <t>Luces cenitales</t>
  </si>
  <si>
    <t>Interruptores sencillos</t>
  </si>
  <si>
    <t>Toma-corrientes dobles 110 v.</t>
  </si>
  <si>
    <t>Estrias y violines</t>
  </si>
  <si>
    <t>Tuberias y piezas</t>
  </si>
  <si>
    <t>Muros de bloques de 0.10 m</t>
  </si>
  <si>
    <t>Fino de techo plano</t>
  </si>
  <si>
    <t>Zabaletas</t>
  </si>
  <si>
    <t>Ud</t>
  </si>
  <si>
    <t>Componente</t>
  </si>
  <si>
    <t>Unidad</t>
  </si>
  <si>
    <t>P.U.</t>
  </si>
  <si>
    <t>Efic.</t>
  </si>
  <si>
    <t>Factor</t>
  </si>
  <si>
    <t>Acero de 1/2"</t>
  </si>
  <si>
    <t>qq</t>
  </si>
  <si>
    <t>Acero de 3/4"</t>
  </si>
  <si>
    <t>Acero de 1"</t>
  </si>
  <si>
    <t>Alambre #18</t>
  </si>
  <si>
    <t>Lb</t>
  </si>
  <si>
    <t>Hormigon Industrial 210 kg/cm2 incluye bomba</t>
  </si>
  <si>
    <t>Colocación acero normal</t>
  </si>
  <si>
    <t>ANALISIS DE COSTOS</t>
  </si>
  <si>
    <t>Acero de 3/8"</t>
  </si>
  <si>
    <t>Moldes de columnas</t>
  </si>
  <si>
    <t>Encofrado-desencofrado TC vigas</t>
  </si>
  <si>
    <t>Moldes para vigas</t>
  </si>
  <si>
    <t>Molde para muros de hormigon (cada cara)</t>
  </si>
  <si>
    <t>Encofrado-desencofrado TC dinteles, L&lt;2.00 m.</t>
  </si>
  <si>
    <t>Colocación acero en dinteles y vigas de amarre</t>
  </si>
  <si>
    <t>Encofrado-desencofrado TC rampas escaleras</t>
  </si>
  <si>
    <t>Colocación acero en rampas escaleras</t>
  </si>
  <si>
    <t>Encofrado-desencofrado TC losas</t>
  </si>
  <si>
    <t>Mallas electrosoldadas</t>
  </si>
  <si>
    <t>Colocacion de mallas electrosoldadas</t>
  </si>
  <si>
    <t>Molde para vigas de fundacion</t>
  </si>
  <si>
    <t>Hormigon 180 Kg/cm2</t>
  </si>
  <si>
    <t>Hormigon 210 kg/cm2</t>
  </si>
  <si>
    <t>Arena triturada y lavada</t>
  </si>
  <si>
    <t>Grava 3/8" a 3/4"</t>
  </si>
  <si>
    <t>Cemento gris tipo Portland</t>
  </si>
  <si>
    <t>fda</t>
  </si>
  <si>
    <t>Agua</t>
  </si>
  <si>
    <t>gl</t>
  </si>
  <si>
    <t>Hormigon 140 kg/cm2</t>
  </si>
  <si>
    <t>Acarreo de cemento</t>
  </si>
  <si>
    <t>Arena gruesa lavada</t>
  </si>
  <si>
    <t>Ligado y vaciado con ligadora 2 fdas.</t>
  </si>
  <si>
    <t>Obrero calificado</t>
  </si>
  <si>
    <t>día</t>
  </si>
  <si>
    <t>Albañil de Tercera Categoría</t>
  </si>
  <si>
    <t>Maestro Albañil</t>
  </si>
  <si>
    <t>Ligadora de 2 fundas</t>
  </si>
  <si>
    <t>Eq-Hora</t>
  </si>
  <si>
    <t>Mezcla 1:3</t>
  </si>
  <si>
    <t>Obrero no calificado</t>
  </si>
  <si>
    <t>Mezcla para pañetes</t>
  </si>
  <si>
    <t>Arena fina para empañete</t>
  </si>
  <si>
    <t>Cal "Pomier"</t>
  </si>
  <si>
    <t>Mortero (1:4) para empañete</t>
  </si>
  <si>
    <t>Mortero (1:4) impermeable para pulido</t>
  </si>
  <si>
    <t>Mezcla de cal y arena para pisos</t>
  </si>
  <si>
    <t>Mortero (1:10) para colocar pisos</t>
  </si>
  <si>
    <t>Colocación bloques 4x8x16 pulgs</t>
  </si>
  <si>
    <t>Llenado de huecos en bloques, bastones a 0.80</t>
  </si>
  <si>
    <t>Corte y amarre varillas en bloques, bastones a .80</t>
  </si>
  <si>
    <t>Bloque de cemento de 4"</t>
  </si>
  <si>
    <t>Pino bruto importado</t>
  </si>
  <si>
    <t>pc</t>
  </si>
  <si>
    <t>Colocación bloques 6x8x16 pulgs</t>
  </si>
  <si>
    <t>Andamios interiores</t>
  </si>
  <si>
    <t>Bloque de cemento de 6"</t>
  </si>
  <si>
    <t>Colocación bloques 8x8x16 pulgs</t>
  </si>
  <si>
    <t>Bloque de cemento de 8"</t>
  </si>
  <si>
    <t>Carpintero de 1ra.</t>
  </si>
  <si>
    <t>dia</t>
  </si>
  <si>
    <t>Careteo con llana</t>
  </si>
  <si>
    <t>Regla para empañete (preparada)</t>
  </si>
  <si>
    <t>Clavos corrientes</t>
  </si>
  <si>
    <t>lb</t>
  </si>
  <si>
    <t>Pañetes en techos y vigas</t>
  </si>
  <si>
    <t>Pañete pulido</t>
  </si>
  <si>
    <t>Pañetes pulido</t>
  </si>
  <si>
    <t>Cantos en vigas, columnas, antepechos y mochetas</t>
  </si>
  <si>
    <t>Obra de mano bordes y cornisas</t>
  </si>
  <si>
    <t>Andamios exteriores</t>
  </si>
  <si>
    <t>Colocacion de losetas de ceramicas</t>
  </si>
  <si>
    <t>Preparación superficie para colocar pisos</t>
  </si>
  <si>
    <t>Corte de chazos</t>
  </si>
  <si>
    <t>Derretido blanco</t>
  </si>
  <si>
    <t>Colocacion de zocalos</t>
  </si>
  <si>
    <t>Corte de zócalos</t>
  </si>
  <si>
    <t>Piso de hormigón frotado y marcado a violín</t>
  </si>
  <si>
    <t>Cantos laterales en pisos</t>
  </si>
  <si>
    <t>Llavín de calidad doble-puño, c/llave y seguro en pta principal</t>
  </si>
  <si>
    <t>Bisagras "Stanley" 3 1/3" x 31/2"</t>
  </si>
  <si>
    <t>par</t>
  </si>
  <si>
    <t>PL</t>
  </si>
  <si>
    <t>p2</t>
  </si>
  <si>
    <t>Montura de puertas</t>
  </si>
  <si>
    <t>Montura de marcos de madera preciosa</t>
  </si>
  <si>
    <t>Montura de cerradura</t>
  </si>
  <si>
    <t>Tornillos 3" x 14</t>
  </si>
  <si>
    <t>Tarugos 3/8" plásticos</t>
  </si>
  <si>
    <t>Cerraduras en ptas interiores</t>
  </si>
  <si>
    <t>pl</t>
  </si>
  <si>
    <t>Alquiler equipo soldadura y corte</t>
  </si>
  <si>
    <t>Barras de 5/8</t>
  </si>
  <si>
    <t>Tola de 1/16"</t>
  </si>
  <si>
    <t>Perfil 1 1/2" x 2"</t>
  </si>
  <si>
    <t>Soldador</t>
  </si>
  <si>
    <t>Ayudante soldadura</t>
  </si>
  <si>
    <t>Confeccion de escalones revestidos de mezcla</t>
  </si>
  <si>
    <t>Obra de mano Madera</t>
  </si>
  <si>
    <t>Placa fijacion</t>
  </si>
  <si>
    <t>Tornillos de 3/8x2</t>
  </si>
  <si>
    <t>Madera preciosa</t>
  </si>
  <si>
    <t>Tubo  1 1/2" x 20 pies HG</t>
  </si>
  <si>
    <t>Tubo 2" x 20 pies HG</t>
  </si>
  <si>
    <t>Estopa</t>
  </si>
  <si>
    <t>Desperdicios y retoques de pintura</t>
  </si>
  <si>
    <t>Mano de obra pintura de agua, dos manos</t>
  </si>
  <si>
    <t>Masillado,lijado y pasar piedra</t>
  </si>
  <si>
    <t>Aguarrás</t>
  </si>
  <si>
    <t>Barniz</t>
  </si>
  <si>
    <t>Gl</t>
  </si>
  <si>
    <t>Mano de obra pintura mantenimiento, dos manos</t>
  </si>
  <si>
    <t>Pintura mantenimiento</t>
  </si>
  <si>
    <t>Thinner</t>
  </si>
  <si>
    <t>Lavamanos</t>
  </si>
  <si>
    <t>Cemento blanco</t>
  </si>
  <si>
    <t>Tubo 1/2" x 20 pies HG</t>
  </si>
  <si>
    <t>Codo 1/2" x 90 HG</t>
  </si>
  <si>
    <t>Tee 1/2" HG</t>
  </si>
  <si>
    <t>Tapas de HF</t>
  </si>
  <si>
    <t>u</t>
  </si>
  <si>
    <t>Pintura mantenimiento óxido rojo</t>
  </si>
  <si>
    <t>Instalación tubería HG 1/2" y 3/4"</t>
  </si>
  <si>
    <t>Tubo de 2" x 20 pies PVC SDR-41</t>
  </si>
  <si>
    <t>Codo 2" x 90 PVC drenaje</t>
  </si>
  <si>
    <t>Codo 2" x 45 PVC drenaje</t>
  </si>
  <si>
    <t>Yee reductora 4" a 2" PVC drenaje</t>
  </si>
  <si>
    <t>Llave angular 3/8"</t>
  </si>
  <si>
    <t>Tubo flexible cromado para lavamanos</t>
  </si>
  <si>
    <t>Niple 3/8" x 2 1/2" cromado</t>
  </si>
  <si>
    <t>Boquilla para lavamanos PVC</t>
  </si>
  <si>
    <t>Sifón lavamanos 1 1/4" PVC</t>
  </si>
  <si>
    <t>Cubrefalta 3/8" cromado</t>
  </si>
  <si>
    <t>Reducción bushing 1/2" a 3/8" HG</t>
  </si>
  <si>
    <t>Sifón 2" PVC</t>
  </si>
  <si>
    <t>Tornillos para fijar arandela (Juego)</t>
  </si>
  <si>
    <t>Junta de cera</t>
  </si>
  <si>
    <t>Arandela plástica 3" o 4" para inodoros</t>
  </si>
  <si>
    <t>Unión Universal 1/2" HG</t>
  </si>
  <si>
    <t>Niple 1/2" x 4" HG</t>
  </si>
  <si>
    <t>Mano de obra bañera pesada metálica</t>
  </si>
  <si>
    <t>Mano de obra mezcladora de baño</t>
  </si>
  <si>
    <t>Mano de obra desague aparatos de 2"</t>
  </si>
  <si>
    <t>Mano de obra salida de agua tubería 1/2" y 3/4"</t>
  </si>
  <si>
    <t>Desague para bañera PVC</t>
  </si>
  <si>
    <t>Desague de piso 2"</t>
  </si>
  <si>
    <t>Mano de obra desague de piso 2" con parrilla</t>
  </si>
  <si>
    <t>Rejilla 3" x 1/2" cromada para piso</t>
  </si>
  <si>
    <t>Mano de obra llave para ducha empotrada</t>
  </si>
  <si>
    <t>Mano de obra ducha tipo teléfono</t>
  </si>
  <si>
    <t>Ducha  completa</t>
  </si>
  <si>
    <t>Llave de empotrar 1/2" cromada</t>
  </si>
  <si>
    <t>Rejilla de H F</t>
  </si>
  <si>
    <t>Mano de obra fregadero acero inox. dos cámaras</t>
  </si>
  <si>
    <t>Sifón 1 1/2" PVC</t>
  </si>
  <si>
    <t>Mezcladora para fregadero c/manguera</t>
  </si>
  <si>
    <t>Boquilla para fregadero cromada</t>
  </si>
  <si>
    <t>Desague doble para fregadero PVC</t>
  </si>
  <si>
    <t>Mano de obra lavadero de dos cámaras</t>
  </si>
  <si>
    <t>Tubo de 1 1/2" x 20 pies PVC drenaje</t>
  </si>
  <si>
    <t>Boquilla para lavadero cromada c/tapón</t>
  </si>
  <si>
    <t>Rejilla 4" aluminio para piso</t>
  </si>
  <si>
    <t>Lavadero doble de granito 1.50 x 0.50</t>
  </si>
  <si>
    <t>Zabaletas de piso</t>
  </si>
  <si>
    <t>ML</t>
  </si>
  <si>
    <t>Bote material excavado</t>
  </si>
  <si>
    <t>Excavaciones</t>
  </si>
  <si>
    <t>Registro hasta .60 x .60 (interior)</t>
  </si>
  <si>
    <t>Acarreo bloques de 8"</t>
  </si>
  <si>
    <t>Llenado de huecos en bloques, bastones a 0.20</t>
  </si>
  <si>
    <t>Corte y amarre varillas en bloques, bastones a .20</t>
  </si>
  <si>
    <t>Subir bloques de 6" por polea al 5to. nivel</t>
  </si>
  <si>
    <t>Mano de obra desague pluvial 3" y 4"</t>
  </si>
  <si>
    <t>Tubo de 3" x 20 pies PVC SDR-41</t>
  </si>
  <si>
    <t>Codo 3" x 90 PVC drenaje</t>
  </si>
  <si>
    <t>Cola extensión lavamanos 1 1/4" x 8" cromada</t>
  </si>
  <si>
    <t>Caliche</t>
  </si>
  <si>
    <t>Regado, nivelado y apisonado</t>
  </si>
  <si>
    <t>Alquiler compactador mecánico - tipo plancha</t>
  </si>
  <si>
    <t>hora</t>
  </si>
  <si>
    <t>Material granular para relleno</t>
  </si>
  <si>
    <t>Zinc</t>
  </si>
  <si>
    <t>Obra de mano</t>
  </si>
  <si>
    <t>Limpieza y acond. del terreno</t>
  </si>
  <si>
    <t>Carpintero de 2da.</t>
  </si>
  <si>
    <t>h-d</t>
  </si>
  <si>
    <t>Hilo de nylon (1 lb.)</t>
  </si>
  <si>
    <t>Estudio topográfico de solar</t>
  </si>
  <si>
    <t>Ayudante carpintería</t>
  </si>
  <si>
    <t>Pestillo</t>
  </si>
  <si>
    <t>Porta-candado</t>
  </si>
  <si>
    <t>Candado</t>
  </si>
  <si>
    <t>Marcos de pino</t>
  </si>
  <si>
    <t>Plywood dos caras 4´x 8´x 3/4"</t>
  </si>
  <si>
    <t>Fino de techo horizontal</t>
  </si>
  <si>
    <t>Subir ARENA por polea</t>
  </si>
  <si>
    <t>Subir CEMENTO, CAL, etc.</t>
  </si>
  <si>
    <t>Zabaleta en techos</t>
  </si>
  <si>
    <t>Pl</t>
  </si>
  <si>
    <t>Rejillas de HF</t>
  </si>
  <si>
    <t>Tapon de registro</t>
  </si>
  <si>
    <t>Tapa de Hormigon para septicos</t>
  </si>
  <si>
    <t>Piso de Hormigón frotado</t>
  </si>
  <si>
    <t>Corte y amarre de varillas a 0.40 m</t>
  </si>
  <si>
    <t>LISTADO DE RECURSOS</t>
  </si>
  <si>
    <t>Codo 3" x 45 PVC drenaje</t>
  </si>
  <si>
    <t>Sifón 3" PVC</t>
  </si>
  <si>
    <t>Llave de chorro 1/2" "Nibco"</t>
  </si>
  <si>
    <t>Sifón lavamanos 1 1/4" cromado completo "Nibco"</t>
  </si>
  <si>
    <t>Moldes para vigas de amarre</t>
  </si>
  <si>
    <t>Instalacion de bomba y tanque</t>
  </si>
  <si>
    <t>Mano de obra desague de piso 3" y 4" con parrilla</t>
  </si>
  <si>
    <t>Colocacion de acero en zapatas de muros</t>
  </si>
  <si>
    <t xml:space="preserve">Montura de escalones </t>
  </si>
  <si>
    <t>MATERIALES</t>
  </si>
  <si>
    <t xml:space="preserve"> MANO DE OBRA</t>
  </si>
  <si>
    <t xml:space="preserve">Mano de obra pintura demarcación </t>
  </si>
  <si>
    <t>Llave de paso de 3"</t>
  </si>
  <si>
    <t xml:space="preserve">Ventanas corredizas </t>
  </si>
  <si>
    <t xml:space="preserve">Ventanas de vidrio y aluminio </t>
  </si>
  <si>
    <t xml:space="preserve">Vidrios fijos </t>
  </si>
  <si>
    <t>Mortero para pisos</t>
  </si>
  <si>
    <t>Pisos de porcelanato</t>
  </si>
  <si>
    <t>Losetas de porcelanato</t>
  </si>
  <si>
    <t>Zocalos de porcelanto</t>
  </si>
  <si>
    <t>Jambas de madera preciosa</t>
  </si>
  <si>
    <t>Bisagras " 3 1/3" x 31/2"</t>
  </si>
  <si>
    <t>Bisagras  3 1/3" x 31/2"</t>
  </si>
  <si>
    <t>Marco de madera preciosa 2" x 4"</t>
  </si>
  <si>
    <t>Puertas de madera preciosa</t>
  </si>
  <si>
    <t>Losetas de porcelanato importadas para pisos</t>
  </si>
  <si>
    <t>Zocalos de porcelanato</t>
  </si>
  <si>
    <t>Marco de madera preciosa</t>
  </si>
  <si>
    <t>p3</t>
  </si>
  <si>
    <t>Puertas de madera preciosa en interiores</t>
  </si>
  <si>
    <t>Costo/und</t>
  </si>
  <si>
    <t>Bisagras vaiven</t>
  </si>
  <si>
    <t>Precio sin Itbis</t>
  </si>
  <si>
    <t>Itbis</t>
  </si>
  <si>
    <t>Precio Final</t>
  </si>
  <si>
    <t>Extraccion capa vegetal</t>
  </si>
  <si>
    <t>Puerta de roble</t>
  </si>
  <si>
    <t>Tubo flexible</t>
  </si>
  <si>
    <t xml:space="preserve">Lavamanos </t>
  </si>
  <si>
    <t xml:space="preserve">Cemento PVC </t>
  </si>
  <si>
    <t xml:space="preserve">Inodoro </t>
  </si>
  <si>
    <t>ud</t>
  </si>
  <si>
    <t>Cemento PVC</t>
  </si>
  <si>
    <t xml:space="preserve">Piso hormigón  </t>
  </si>
  <si>
    <t>Tapon registro  2 "</t>
  </si>
  <si>
    <t>Tapon registro  3 "</t>
  </si>
  <si>
    <t>Tapon registro  4 "</t>
  </si>
  <si>
    <t>Inst. tapòn ge registro</t>
  </si>
  <si>
    <t xml:space="preserve">Columna bajante de 1 ½” </t>
  </si>
  <si>
    <t>UD</t>
  </si>
  <si>
    <t>Obra de mano.</t>
  </si>
  <si>
    <t>PA</t>
  </si>
  <si>
    <t>SALIDAS DE LUMINACION DE TECHO</t>
  </si>
  <si>
    <t>Caja octagonal americana de 1/2"Ø</t>
  </si>
  <si>
    <t>Conectores de 1/2 Emt</t>
  </si>
  <si>
    <t>Alambre THW #12 negro</t>
  </si>
  <si>
    <t>Alambre THW #12 blanco</t>
  </si>
  <si>
    <t>Alambre de goma 12/3</t>
  </si>
  <si>
    <t>Conectores Uf de 3/8"</t>
  </si>
  <si>
    <t>Mensajero electrico</t>
  </si>
  <si>
    <t>Miscelaneos</t>
  </si>
  <si>
    <t>SALIDAS DE INTERRUPTOR SIMPLE</t>
  </si>
  <si>
    <t>Tubo SDR-26 de 1/2"</t>
  </si>
  <si>
    <t>Curva SDR-26 de 1/2"</t>
  </si>
  <si>
    <t>Caja 2" x 4" KO 1/2" UL americana</t>
  </si>
  <si>
    <t>Alambre THW #12 amarillo</t>
  </si>
  <si>
    <t>Interruptor sencillo Bticino Modus</t>
  </si>
  <si>
    <t>SALIDAS DE TOMACORRIENTES NORMAL DE PARED</t>
  </si>
  <si>
    <t>Caja rectangular 2"x4"  americana</t>
  </si>
  <si>
    <t>Alambre THW # 12 azul</t>
  </si>
  <si>
    <t>Alambre THW # 12 blanco</t>
  </si>
  <si>
    <t>Tomacorriente 110v Bticino Modus</t>
  </si>
  <si>
    <t>Mensajero Electrico</t>
  </si>
  <si>
    <t>P.A</t>
  </si>
  <si>
    <t>Interruptor  Bticino Matix</t>
  </si>
  <si>
    <t>Caja rectangular 2"x4"  Nk-3/4</t>
  </si>
  <si>
    <t>Tuberia de 3/4" Pvc</t>
  </si>
  <si>
    <t>Curva de 3/4" Pvc</t>
  </si>
  <si>
    <t>Toma para Data Bticino Matix</t>
  </si>
  <si>
    <t>Tapa para Data</t>
  </si>
  <si>
    <t>Mensajero Electrico de nylon</t>
  </si>
  <si>
    <t>Expansiones Hilti de 1/2 x1-1/2"</t>
  </si>
  <si>
    <t xml:space="preserve">Tubos  PVC  4" x 19`  SDR-41 </t>
  </si>
  <si>
    <t xml:space="preserve">Tubos  PVC  6" x 19`  SDR-41 </t>
  </si>
  <si>
    <t xml:space="preserve">Fregadero </t>
  </si>
  <si>
    <t>Cerámica blanca mate</t>
  </si>
  <si>
    <t>Fregadero sencillo de aluminio con mezcladora</t>
  </si>
  <si>
    <t>Trampa de grasa 1.4 x 1.40m</t>
  </si>
  <si>
    <t xml:space="preserve">Limpieza (desbroce, extracción capa vegetal y bote)
</t>
  </si>
  <si>
    <t xml:space="preserve">Gabinetes de piso </t>
  </si>
  <si>
    <t xml:space="preserve">Gabinetes de pared </t>
  </si>
  <si>
    <t>Ceramicas en baños</t>
  </si>
  <si>
    <t>Pintura base</t>
  </si>
  <si>
    <t>Colocación acero en columnas de amarre y vigas de amarre</t>
  </si>
  <si>
    <t>Moldes para columnas y vigas de amarre</t>
  </si>
  <si>
    <t>Moldes para dinteles</t>
  </si>
  <si>
    <t>Colocación acero en dinteles</t>
  </si>
  <si>
    <t xml:space="preserve"> Mezcladora </t>
  </si>
  <si>
    <t>Mt³</t>
  </si>
  <si>
    <t>Mt²</t>
  </si>
  <si>
    <t xml:space="preserve">Mano de obra </t>
  </si>
  <si>
    <t>Pañete rustico</t>
  </si>
  <si>
    <t>Desague pluvial 2"</t>
  </si>
  <si>
    <t xml:space="preserve">Mano de obra desague pluvial </t>
  </si>
  <si>
    <t>Mota (atlas) p/pintar</t>
  </si>
  <si>
    <t>Escobillones (completo)</t>
  </si>
  <si>
    <t>Portarrolo (superior)</t>
  </si>
  <si>
    <t>Palos p/rolos (pintura)</t>
  </si>
  <si>
    <t>cubo</t>
  </si>
  <si>
    <t>M.O. aplicación</t>
  </si>
  <si>
    <t>mt²</t>
  </si>
  <si>
    <t>Colocación de losetas de cerámicas</t>
  </si>
  <si>
    <t>Cerámicas en paredes</t>
  </si>
  <si>
    <t>Oxido rojo</t>
  </si>
  <si>
    <t>Und</t>
  </si>
  <si>
    <t>Cemento gris</t>
  </si>
  <si>
    <t>fda.</t>
  </si>
  <si>
    <t>Bloques de hormigón (4*8*16)</t>
  </si>
  <si>
    <t>Mortero 1:3</t>
  </si>
  <si>
    <t>Mortero 1:10</t>
  </si>
  <si>
    <t>Hormigón en Ligadora 1:3:5 (140 Kg/Cm²)</t>
  </si>
  <si>
    <t>Desague de Pisos 2" (baño y lavadero)</t>
  </si>
  <si>
    <t xml:space="preserve">Cerámica </t>
  </si>
  <si>
    <t>Fregadero sencillo</t>
  </si>
  <si>
    <t>Lavamanos para empotrar</t>
  </si>
  <si>
    <t xml:space="preserve"> Mezcladora lavamanos</t>
  </si>
  <si>
    <t>Llave de jardin de 3/4"</t>
  </si>
  <si>
    <t>Orinales</t>
  </si>
  <si>
    <t>Colocacion</t>
  </si>
  <si>
    <t>Mano de Obra</t>
  </si>
  <si>
    <t>P2</t>
  </si>
  <si>
    <t>Mano de obra</t>
  </si>
  <si>
    <t>m²</t>
  </si>
  <si>
    <t xml:space="preserve">Ventanas de aluminio </t>
  </si>
  <si>
    <t>RNC. 130-862682</t>
  </si>
  <si>
    <t>PROYECTO</t>
  </si>
  <si>
    <t>Estancia Nueva esq. Cul de Sac 1, San Gerónimo</t>
  </si>
  <si>
    <t xml:space="preserve">INSTITUCIÓN </t>
  </si>
  <si>
    <t>Tel: 809-364-8836</t>
  </si>
  <si>
    <t>Cel: 809-883-0401</t>
  </si>
  <si>
    <t>remotercsrl@gmail.com</t>
  </si>
  <si>
    <t>PRESUPUESTO</t>
  </si>
  <si>
    <t>PARTIDAS</t>
  </si>
  <si>
    <t>CANT.</t>
  </si>
  <si>
    <t>PRECIO</t>
  </si>
  <si>
    <t>VALOR</t>
  </si>
  <si>
    <t>SUB-TOTAL</t>
  </si>
  <si>
    <t>1.00</t>
  </si>
  <si>
    <t>Remoción de pisos interiores y exteriores</t>
  </si>
  <si>
    <t>Demolición de vidrios fijos</t>
  </si>
  <si>
    <t>uds</t>
  </si>
  <si>
    <t>Demolición de escalera parte trasera para acceder al techo</t>
  </si>
  <si>
    <t>Remoción electricidad</t>
  </si>
  <si>
    <t>Fumigación de fundaciones contra comején en edificaciones primer nivel</t>
  </si>
  <si>
    <t>2.00</t>
  </si>
  <si>
    <t xml:space="preserve">Suministro y compactación de material granular de relleno bajo piso edificación  </t>
  </si>
  <si>
    <t>Zapata de bloques  de 6"</t>
  </si>
  <si>
    <t>Zapata de bloques  de 8"</t>
  </si>
  <si>
    <t xml:space="preserve">Dinteles </t>
  </si>
  <si>
    <t>Bloques de hormigón de 8'' con todas las cámaras llenas</t>
  </si>
  <si>
    <t>Losa de hormigón para money safe</t>
  </si>
  <si>
    <t>Fraguache vigas y columnas</t>
  </si>
  <si>
    <t>3.00</t>
  </si>
  <si>
    <t>Zócalos Porcelanatode 0.10 x 0.40 (pegado con pegamento)</t>
  </si>
  <si>
    <t>Piso Gris en exterior  (derretido)</t>
  </si>
  <si>
    <t>Zócalos Gris de 0.10 x 0.40 (pegado con pegamento)</t>
  </si>
  <si>
    <t>Bullnose para piso Gris</t>
  </si>
  <si>
    <t>Rampa minusválido con piso antideslizante</t>
  </si>
  <si>
    <t>Muro de sheetrock doble Cara c/ Perfilería de 2½", Cal. 20 y Planchas de 4 x 8 x ½"</t>
  </si>
  <si>
    <t>Plafond tipo pebbled moldura recesada 2"x2"</t>
  </si>
  <si>
    <t>Plafond mineral 2'x2'</t>
  </si>
  <si>
    <t>Cenefas en sheetrock</t>
  </si>
  <si>
    <t xml:space="preserve">Plafond Yeso </t>
  </si>
  <si>
    <t>Dintel de Sheetrock</t>
  </si>
  <si>
    <t xml:space="preserve">Columna sheetrock </t>
  </si>
  <si>
    <t>Plafond Densglass</t>
  </si>
  <si>
    <t xml:space="preserve">PINTURA </t>
  </si>
  <si>
    <t>Masillado de paredes interiores y exteriores del local</t>
  </si>
  <si>
    <t>Mesetas del cuarto de data en pino tratado forrado con formica negra dos tramos de 0.60 mts de ancho</t>
  </si>
  <si>
    <t>Construcción de vertedero a todo costo</t>
  </si>
  <si>
    <t>Mezcladora Sayco o similar Para Fregadero</t>
  </si>
  <si>
    <t>Inodoro enlongado blanco con tapa</t>
  </si>
  <si>
    <t>Mezcladora lavamanos Sayco</t>
  </si>
  <si>
    <t>Zapata pedestal</t>
  </si>
  <si>
    <t>Correas 3"x3"x1/8"</t>
  </si>
  <si>
    <t>Densglass Una (1) Cara c/ Perfilería de 2½", Cal. 20 y Planchas de 4 x 8 x ½", para soporte alucobond en autobanco</t>
  </si>
  <si>
    <t>Isleta</t>
  </si>
  <si>
    <t>Bloques de hormigón de 6'' con todas las cámaras llenas</t>
  </si>
  <si>
    <t>Protección en cadillo de 15cm de altura</t>
  </si>
  <si>
    <t>Puertas en tola metálica de 1.00 x 2.10 m con cierre de seguridad para acceso a caseta generador, incluye cadillo en parte superior</t>
  </si>
  <si>
    <t>Losa en hormigón Fc= 210 kg/cm² a Ligadora e=0.12 m</t>
  </si>
  <si>
    <t>Columna frontal en Perfil 6'' x 6'' y planchuela 2" x1/8", incluye pintura de terminación</t>
  </si>
  <si>
    <t>Hormigón simple en piso para nivelación de 0.10 mts promedio</t>
  </si>
  <si>
    <t>Pisos de Hormigon con malla Electrosoldada e=0.10</t>
  </si>
  <si>
    <t>Plataforma de hormigón f´c= 210 kg/cm² para generador de 2.25 X 1.00 m, e=0.30 m. incluye sellante y foam alrededor de la junta</t>
  </si>
  <si>
    <t>Demolición de vigas y columnas</t>
  </si>
  <si>
    <t xml:space="preserve">Control topográfico de parqueo  (Incluye Brigada topográfica) </t>
  </si>
  <si>
    <t>Aceras perimetrales</t>
  </si>
  <si>
    <t>Suministro y colocación de paragoma reflectivo amarillo de 6´</t>
  </si>
  <si>
    <t>Pintura amarillo tráfico en líneas divisorias de parqueo</t>
  </si>
  <si>
    <t xml:space="preserve">Registros de 1.00 x 1.00 x 1.00, de bloques de 6'' con todas las cámaras llenas </t>
  </si>
  <si>
    <t>Enclosure C/Breaker 400a Daco 1f N1 con Main Breaker
Pintado .
Tola C/16
Dimensión 30x15x9</t>
  </si>
  <si>
    <t>Panel PU, 1 Fase de 8 circuitos  similar a  en el cuarto eléctrico, 120/240 VAC, barra de 100 amps, IP 30 A/1 amps, breakers THQL con 
♦ Breaker 20/1 amps (6 uds)</t>
  </si>
  <si>
    <t>Salidas de Sistema Contra Incendio</t>
  </si>
  <si>
    <t>Acometida de Tomacorriente 110V soterrada en exterior</t>
  </si>
  <si>
    <t>Acometida de Tomacorriente UPS</t>
  </si>
  <si>
    <t>Acometida Data, CCTV y Control de Acceso</t>
  </si>
  <si>
    <t>Acometida Data, CCTV y Control de Acceso soterrada en parqueo</t>
  </si>
  <si>
    <t>Acometida de Sistema de Seguridad (Pánico, rotura, sensor movimiento)</t>
  </si>
  <si>
    <t>Registro de hormigón 0.60x0.60x0.60 para acometida exterior</t>
  </si>
  <si>
    <t>Acometida fibra óptica</t>
  </si>
  <si>
    <t>Lámparas Led de panel 2x2 38 W/80-240V/60HZ/6500K</t>
  </si>
  <si>
    <t xml:space="preserve">Ojos de Buey led de 9" de 18 watts, color 6500 K MARCO BLANCO </t>
  </si>
  <si>
    <t>Lámpara Led de emergencia 90min 120/277 V Lithonia</t>
  </si>
  <si>
    <t>Base de poste metálico en hormigón armado  DE 0.50X0.50X0.25 MTS</t>
  </si>
  <si>
    <t>Reflector Led 200 , incluye: Alambre de goma 14/4. Conector UF. Tapa. Brazo</t>
  </si>
  <si>
    <t>Distribución  ø1 1/2" (Desde Inapa) (Sum. e Inst., incluye piezas)</t>
  </si>
  <si>
    <t>Zanja para tuberías interior/exterior (Excavación en piso de hormigón, colchón arena y tapado)</t>
  </si>
  <si>
    <t>Arrastre  en PVC ø6" SDR-32.5 (Suministro e instalación tuberías)</t>
  </si>
  <si>
    <t>Arrastre  en PVC ø2" SDR-32.5 Suministro e instalación tuberías)</t>
  </si>
  <si>
    <t>Cámaras de Inspección (0.70 x 0.70 x 0.70 m), en bloques de 6"</t>
  </si>
  <si>
    <t>Trampa de grasa (0.70 x 0.70 x 0.50 m), en bloques de 6"</t>
  </si>
  <si>
    <t>Registro 12" X 12" X 6", Nema-3R</t>
  </si>
  <si>
    <t>Master Ground 12" x 2" x 1/4" con aislantes y base, marca Harger</t>
  </si>
  <si>
    <t>Acometida</t>
  </si>
  <si>
    <t>Fundente Harger</t>
  </si>
  <si>
    <t>SUB-TOTAL GENERAL</t>
  </si>
  <si>
    <t>GASTOS GENERALES</t>
  </si>
  <si>
    <t>DIRECCION TECN. Y RESP. ADM.</t>
  </si>
  <si>
    <t>GASTOS ADMINISTRATIVOS</t>
  </si>
  <si>
    <t xml:space="preserve">TRANSPORTE </t>
  </si>
  <si>
    <t>IMPREVISTO</t>
  </si>
  <si>
    <r>
      <t xml:space="preserve">      </t>
    </r>
    <r>
      <rPr>
        <b/>
        <sz val="26"/>
        <color indexed="10"/>
        <rFont val="Lucida Sans Unicode"/>
        <family val="2"/>
      </rPr>
      <t>ReMo</t>
    </r>
    <r>
      <rPr>
        <b/>
        <sz val="26"/>
        <rFont val="Lucida Sans Unicode"/>
        <family val="2"/>
      </rPr>
      <t>Terc</t>
    </r>
    <r>
      <rPr>
        <b/>
        <sz val="26"/>
        <color indexed="53"/>
        <rFont val="Lucida Sans Unicode"/>
        <family val="2"/>
      </rPr>
      <t xml:space="preserve">  </t>
    </r>
    <r>
      <rPr>
        <b/>
        <sz val="26"/>
        <rFont val="Lucida Sans Unicode"/>
        <family val="2"/>
      </rPr>
      <t>S.R.L</t>
    </r>
  </si>
  <si>
    <t>Herramientas</t>
  </si>
  <si>
    <t>%</t>
  </si>
  <si>
    <t xml:space="preserve">Demolicion </t>
  </si>
  <si>
    <t xml:space="preserve">Desmontura de Puertas  </t>
  </si>
  <si>
    <t>Ayudante</t>
  </si>
  <si>
    <t>Trabajador calificado</t>
  </si>
  <si>
    <t xml:space="preserve">Desmontura Plafond </t>
  </si>
  <si>
    <t>Demolición baño debajo escalera acceso al techo, incluye:</t>
  </si>
  <si>
    <t>Remocion puerta</t>
  </si>
  <si>
    <t>Remocion inodoro</t>
  </si>
  <si>
    <t>Remocion lavamanos</t>
  </si>
  <si>
    <t>Demolicion de muros</t>
  </si>
  <si>
    <t>Demolicion de losa</t>
  </si>
  <si>
    <t>Remover sistema de electricidad</t>
  </si>
  <si>
    <t>Desmontar aire acondicionado</t>
  </si>
  <si>
    <t>Desmontura aire acondicionado</t>
  </si>
  <si>
    <t>Material granular</t>
  </si>
  <si>
    <t>Viga de amarre 0.15 x 0.20</t>
  </si>
  <si>
    <t>Columna de amarre 0.15 x 0.20 mts</t>
  </si>
  <si>
    <t>Llenado de huecos en bloques</t>
  </si>
  <si>
    <t>Corte y amarre varillas en bloques</t>
  </si>
  <si>
    <t xml:space="preserve">Colocacion de losetas </t>
  </si>
  <si>
    <t>Derretido gris</t>
  </si>
  <si>
    <t>Pisos en exterior</t>
  </si>
  <si>
    <t xml:space="preserve">Losetas </t>
  </si>
  <si>
    <t xml:space="preserve">Zócalos Gris de 0.10 x 0.40 </t>
  </si>
  <si>
    <t>Pegamento para pisos</t>
  </si>
  <si>
    <t>Suministro bullnose</t>
  </si>
  <si>
    <t xml:space="preserve">Pegamento </t>
  </si>
  <si>
    <t>Hormigon con estampado rallado</t>
  </si>
  <si>
    <t xml:space="preserve">Excavacion </t>
  </si>
  <si>
    <t>Blocks</t>
  </si>
  <si>
    <t>Pañete en bordillos</t>
  </si>
  <si>
    <t>Acero Malla</t>
  </si>
  <si>
    <t>Mano de obra acero</t>
  </si>
  <si>
    <t>Alambre</t>
  </si>
  <si>
    <t>Señalizacion</t>
  </si>
  <si>
    <t>Tubo</t>
  </si>
  <si>
    <t>Placa 7''x7''x3/8''</t>
  </si>
  <si>
    <t>Tornillos Hilti 1.5''x 0.5''</t>
  </si>
  <si>
    <t>Tornillos Hilti 3''x 3/4''</t>
  </si>
  <si>
    <t>Discos pulir</t>
  </si>
  <si>
    <t>Oxigeno, gas</t>
  </si>
  <si>
    <t>Pintura de Oxido blanco</t>
  </si>
  <si>
    <t xml:space="preserve">Suministro e instalación baranda con pasamanos en tubo redondo de 2" y parales de 1-1/2" </t>
  </si>
  <si>
    <t>Electrodos</t>
  </si>
  <si>
    <t xml:space="preserve"> EQUIPOS, HERRAMIENTAS</t>
  </si>
  <si>
    <t>Tubular Acero  (Ø1 1/2'' )</t>
  </si>
  <si>
    <t>Tubular Acero  (Ø3/4'' )</t>
  </si>
  <si>
    <t>Tubular Acero  (Ø2 '' )</t>
  </si>
  <si>
    <t>Instalacion</t>
  </si>
  <si>
    <t>Plancha Sheetrock 4*8*11MM</t>
  </si>
  <si>
    <t>Perfil  2 1/2*10 C20 UPL</t>
  </si>
  <si>
    <t>Transversal Megam 2 1/2*10 C20 UPL</t>
  </si>
  <si>
    <t xml:space="preserve">Stucco </t>
  </si>
  <si>
    <t>Tape fibra de vidrio 2"x 300 PIES</t>
  </si>
  <si>
    <t>Tornillo 6x1 1/4 autobarrena</t>
  </si>
  <si>
    <t>Tornillo P/Est. autobar #7 7/16</t>
  </si>
  <si>
    <t>Pin1" con arandela</t>
  </si>
  <si>
    <t>Fulminante C-22</t>
  </si>
  <si>
    <t>Pino amer. Tratado</t>
  </si>
  <si>
    <t>Plancha</t>
  </si>
  <si>
    <t>MANO DE OBRA</t>
  </si>
  <si>
    <t>Uso de herramientas y equipos</t>
  </si>
  <si>
    <t>TORNILLERIA Y ENCLAVE DE UNIONES</t>
  </si>
  <si>
    <t>Construcción de fascias en sheetrock.</t>
  </si>
  <si>
    <t>Madera</t>
  </si>
  <si>
    <t>Formica</t>
  </si>
  <si>
    <t>Materiales miscelaneos</t>
  </si>
  <si>
    <t>Tramería de pino tratado en el interior de:</t>
  </si>
  <si>
    <t>♦ Vertedero (2 uds de 0.6 x 0.87)</t>
  </si>
  <si>
    <t>En :</t>
  </si>
  <si>
    <t>1. MATERIALES</t>
  </si>
  <si>
    <t>jor</t>
  </si>
  <si>
    <t>Oficial albañil</t>
  </si>
  <si>
    <t>Herramienta menor</t>
  </si>
  <si>
    <t>Alambrón liso de 1/4" (No.2)</t>
  </si>
  <si>
    <t>Canaleta 1 1/2" cal.20</t>
  </si>
  <si>
    <t>m</t>
  </si>
  <si>
    <t>Canaleta 3/4" cal.20</t>
  </si>
  <si>
    <t>Plafond tipo pebbled</t>
  </si>
  <si>
    <t>Alambre  No.18</t>
  </si>
  <si>
    <t xml:space="preserve">Yeso </t>
  </si>
  <si>
    <t xml:space="preserve">Metal desplegado </t>
  </si>
  <si>
    <t xml:space="preserve">Plancha Sheetrock </t>
  </si>
  <si>
    <t>Pintura primer</t>
  </si>
  <si>
    <t xml:space="preserve">M.O. const. vertedero  </t>
  </si>
  <si>
    <t xml:space="preserve">Andamios </t>
  </si>
  <si>
    <t>Masilla</t>
  </si>
  <si>
    <t>Estructura de soporte</t>
  </si>
  <si>
    <t>Anclajes</t>
  </si>
  <si>
    <t>Tornillos</t>
  </si>
  <si>
    <t>Hta. Menor</t>
  </si>
  <si>
    <t>Andamio completo</t>
  </si>
  <si>
    <t>Suministro e instalación de ACM 4 mm x 1.22m (PVDF) Mouse Silver, estructura de aluminio, materiales de terminación y fijación (tornillos, anclajes, remache, masilla estructural, etc.) en Fachada Frontal</t>
  </si>
  <si>
    <t>ACM 4 mm x 1.22m (PVDF) Mouse Silver</t>
  </si>
  <si>
    <t>Oficial</t>
  </si>
  <si>
    <t>Ayudantes</t>
  </si>
  <si>
    <t>Suministro e instalación de ACM 4 mm x 1.22m (PVDF) Mouse Silver, estructura de aluminio, materiales de terminación y fijación (tornillos, anclajes, remache, masilla estructural, etc.)  Pared detrás del counter</t>
  </si>
  <si>
    <t>SHUTTERS Barracuda Magnum End Retention System (Lama 57mm)</t>
  </si>
  <si>
    <t xml:space="preserve">Barracuda Magnum End Retention System (Lama 57mm), </t>
  </si>
  <si>
    <t xml:space="preserve">Certificación Zonas Vientos Fuertes Huracanes (Miami Dade Code, Florida Building Code, Texas Product Evaluation) MOTOR tubular N1800, dos años de garantía. TUBO DE ANCLAJE en aluminio color blanco SWITCH LLAVÍN Interruptor Receptora con pulsador integrado
</t>
  </si>
  <si>
    <t xml:space="preserve">Oficial </t>
  </si>
  <si>
    <t xml:space="preserve">Mezcladora para fregadero </t>
  </si>
  <si>
    <t>Columnas C2</t>
  </si>
  <si>
    <t>Plancha Densglass</t>
  </si>
  <si>
    <t>Placa de anclaje 16"x16"x1/2"</t>
  </si>
  <si>
    <t>Pernos 8"x24"</t>
  </si>
  <si>
    <t>Columna tubular HSS 8"x1/2" de 3.10 mts</t>
  </si>
  <si>
    <t>Vigas W12x14</t>
  </si>
  <si>
    <t xml:space="preserve">Placas de Conexión Vigas </t>
  </si>
  <si>
    <t xml:space="preserve">Protección en cadillo </t>
  </si>
  <si>
    <t>Riel</t>
  </si>
  <si>
    <t xml:space="preserve">Cierre </t>
  </si>
  <si>
    <t>Base y Tope (Asta de Bandera)</t>
  </si>
  <si>
    <t>Base Asta de Bandera</t>
  </si>
  <si>
    <t>Tope Asta de Bandera</t>
  </si>
  <si>
    <t>Hormigon  210 kg/cm2 incl vaciado</t>
  </si>
  <si>
    <t>Perfil 6'' x 6''</t>
  </si>
  <si>
    <t>Planchuela 2" x1/8"</t>
  </si>
  <si>
    <t>Materiales miscelaneos(inc. pintura)</t>
  </si>
  <si>
    <t>Ligado y vaciado</t>
  </si>
  <si>
    <t xml:space="preserve">Hormigon 140 kg/cm2 </t>
  </si>
  <si>
    <t>Instalacion de Puertas</t>
  </si>
  <si>
    <t>Puerta poli metal blanca, enchapadas en dos laminas metálicas de aluzinc pre-pintado de 0.40 mm de espesor, inyectadas  con espumas de poliuretano, incluye marco de 0.80 mts C-22</t>
  </si>
  <si>
    <t>Llavín doble puñ de calidad superior</t>
  </si>
  <si>
    <t xml:space="preserve">Puerta de polimetalica </t>
  </si>
  <si>
    <t>Impermeabilizante acrilico</t>
  </si>
  <si>
    <t>Acero malla</t>
  </si>
  <si>
    <t xml:space="preserve">Obra de mano </t>
  </si>
  <si>
    <t>Desague de piso 3"</t>
  </si>
  <si>
    <t xml:space="preserve">Mano de obra desague de piso </t>
  </si>
  <si>
    <t xml:space="preserve">Rejilla </t>
  </si>
  <si>
    <t>Foam y sellado</t>
  </si>
  <si>
    <t xml:space="preserve">Hormigon 210 kg/cm2 </t>
  </si>
  <si>
    <t>Demolicion de Muros de bloques</t>
  </si>
  <si>
    <t>Desmontura de Ventana</t>
  </si>
  <si>
    <t xml:space="preserve">Carpintero </t>
  </si>
  <si>
    <t>Control topografico</t>
  </si>
  <si>
    <t>Corte de material inservible</t>
  </si>
  <si>
    <t>Bote de material con equipos</t>
  </si>
  <si>
    <t>Parqueo de H.A con malla electrosoldada 15x15 y hormigon industrial 210 fc-cm2 de espesor 0.15 mts en parqueo(inc. Juntas con dovelas de 3-8 a 0.20, L=0.25, terminado helicoptero)</t>
  </si>
  <si>
    <t>Terminacion con helicoptero</t>
  </si>
  <si>
    <t>Juntas</t>
  </si>
  <si>
    <t xml:space="preserve">Hormigon 180 kg/cm2 </t>
  </si>
  <si>
    <t>Madera (110 p2 / 10 usos + 10% desp.).</t>
  </si>
  <si>
    <t>Clavos (5 lb. / 100 p2).</t>
  </si>
  <si>
    <t>Lbs</t>
  </si>
  <si>
    <t>Base horm. + piedra, 0.15 m. espesor + 10% desp.</t>
  </si>
  <si>
    <t>Base contén (mano de obra solamente).</t>
  </si>
  <si>
    <t>Construcción contén.</t>
  </si>
  <si>
    <t xml:space="preserve">Mortero 1:3 </t>
  </si>
  <si>
    <t>Contenes</t>
  </si>
  <si>
    <t xml:space="preserve">Hormigón  1:3:5 </t>
  </si>
  <si>
    <t>Excavación</t>
  </si>
  <si>
    <t>Relleno Compactado</t>
  </si>
  <si>
    <t>Bote de Material Sobrante</t>
  </si>
  <si>
    <t>Ciclópeo</t>
  </si>
  <si>
    <t>Simple</t>
  </si>
  <si>
    <t>Sub-Total</t>
  </si>
  <si>
    <t>Badén en entradas vehiculares en autopista de 1.50 m de ancho, e=0.60, (Horm. Ciclópeo e=0.30, Horm. 210 k/cm² a Ligadora e=0.30, malla electrosoldada 15x15)Badén en entradas vehiculares en autopista de 1.50 m de ancho, e=0.60, (Horm. Ciclópeo e=0.30, Horm. 210 k/cm² a Ligadora e=0.30, malla electrosoldada 15x15)</t>
  </si>
  <si>
    <t>Malla</t>
  </si>
  <si>
    <t xml:space="preserve">Pintura amarillo tráfico </t>
  </si>
  <si>
    <t xml:space="preserve">Bloques de hormigón de 4'' </t>
  </si>
  <si>
    <t>Arena</t>
  </si>
  <si>
    <t>gls</t>
  </si>
  <si>
    <t>Relleno de reposicion</t>
  </si>
  <si>
    <t>Bote</t>
  </si>
  <si>
    <t>Colocación de tuberías PVC-SDR-41 Ø4''</t>
  </si>
  <si>
    <t>Tubos de 4"</t>
  </si>
  <si>
    <t>Tubo de 3" x 20 pies PVC SDR-42</t>
  </si>
  <si>
    <t>Muros de bloques de 0.15 m</t>
  </si>
  <si>
    <t xml:space="preserve">Obra de mano de Registros </t>
  </si>
  <si>
    <t>Expasiones Hilti</t>
  </si>
  <si>
    <t xml:space="preserve"> Breaker de 20A</t>
  </si>
  <si>
    <t>Tubo Emt de 1/2"</t>
  </si>
  <si>
    <t>U</t>
  </si>
  <si>
    <t>Materiales Varios</t>
  </si>
  <si>
    <t xml:space="preserve">Lamparas fluorescente tipo Down light de bajo consumo a 120v  </t>
  </si>
  <si>
    <t>p.l</t>
  </si>
  <si>
    <t>Suministro e instalación de Cut -out-200A-15KV-ABB.</t>
  </si>
  <si>
    <t>Soporte Doble (Cut-Out y Aparta Rayo)</t>
  </si>
  <si>
    <t>Cut-out 200 amperes</t>
  </si>
  <si>
    <t>Suministro e instalación de Pararrayo 9KV.</t>
  </si>
  <si>
    <t>Pararrayos 9 kv</t>
  </si>
  <si>
    <t>Conductor cobre desnudo 1/0 marca Harger o similar.</t>
  </si>
  <si>
    <t xml:space="preserve">Conductor de cobre especial para sistema de tierra de proteccion </t>
  </si>
  <si>
    <t>Conector de cable de cobre</t>
  </si>
  <si>
    <t>Barra de tierra de 1/4x 2x 6</t>
  </si>
  <si>
    <t>Fijador de cable para mamposteria- hormigon en pvc</t>
  </si>
  <si>
    <t>Conductor de cobre trenzado # 1/0, 28 hilos, 7/16" de diametro</t>
  </si>
  <si>
    <t>Abrazadera de varilla para sistema de tierra de 5/8</t>
  </si>
  <si>
    <t>Arcilla para conexión a tierra para bajar las condiciones de alta resistividad dl terreno Gem-25a</t>
  </si>
  <si>
    <t>Suministro e instalación Soldadura termo fundida GB.</t>
  </si>
  <si>
    <t xml:space="preserve">Molde Thermoweld </t>
  </si>
  <si>
    <t xml:space="preserve">Fundente Thermoweld </t>
  </si>
  <si>
    <t>Suministro e instalación Terminal de ojo para cable 1/0 (ver detalle planos).</t>
  </si>
  <si>
    <t>Conector de ojo sencillo # 1/0 de cobre estañado</t>
  </si>
  <si>
    <t>Conector de ojo doble # 1/0 de cobre estañado</t>
  </si>
  <si>
    <t>Costo/p2</t>
  </si>
  <si>
    <t xml:space="preserve">Llavín </t>
  </si>
  <si>
    <t>Panel Board Daco 3cto 400a 1f 120/240v. N1 1.00
Panel Board Daco 3to 400a 1f 120/240v. N1
3h 60hz N3r. Con:</t>
  </si>
  <si>
    <t>Panel Board Daco 3cto 400a 1f 120/240v. N1 1.00</t>
  </si>
  <si>
    <t>Panel Board Daco 3to 400a 1f 120/240v. N1</t>
  </si>
  <si>
    <t>3h 60hz N3r. Con:</t>
  </si>
  <si>
    <t>Main Breaker Daco De 400a/3 S Dbs4</t>
  </si>
  <si>
    <t>Breaker Daco 150a/2 Dbs2</t>
  </si>
  <si>
    <t>Breaker Daco 125a/2 Dbs2</t>
  </si>
  <si>
    <t>Previsión Para Breaker Dbs2</t>
  </si>
  <si>
    <t>Panel Board Daco 5cto 125a N3R
120/240v 1f, 3h, 60 Hz Con:</t>
  </si>
  <si>
    <t>Embarrador Para 240a Max</t>
  </si>
  <si>
    <t>1-Main Breaker Daco De 125a/2 Dbs2</t>
  </si>
  <si>
    <t>3- Breaker Daco De 50/2 Dbs1</t>
  </si>
  <si>
    <t>1- Breaker Daco De 30/2 Dbs1</t>
  </si>
  <si>
    <t>1-Previsiones Para Dbs1 1f</t>
  </si>
  <si>
    <t>Transformador Tipo Pad Mounted Monofásico Radial De 75kva, Voltaje 12470/7200-</t>
  </si>
  <si>
    <t>Transformador Tipo Pad Mounted Monofásico Radial De 75kva, Voltaje 12470/7200-240/120 Frente Muerto. Con Protección De Fusibles Tipo</t>
  </si>
  <si>
    <t>Transf. Sw.Aut Daco 400a 3f C/Sensor N3r 1.00 120/208v,3f,4h,60hz N3r Con:</t>
  </si>
  <si>
    <t>2-Contactor Magnético Daco 400a-450 Ith</t>
  </si>
  <si>
    <t>3- Temporizados (Tden-Tdne-Tdec)</t>
  </si>
  <si>
    <t>1- Monitor Alto/Bajo Volt 3f 220v</t>
  </si>
  <si>
    <t>2- Luces Pilotos (Normal-Emergencia)</t>
  </si>
  <si>
    <t>1-Selector 3 Pos. (Manual-Auto-Prueba)</t>
  </si>
  <si>
    <t>1- Enclavamiento Eléctrico Y Mecánico</t>
  </si>
  <si>
    <t>Bloque Neutro Y Conector De Tierra</t>
  </si>
  <si>
    <t>Embarrado Y Conectores Para 100%</t>
  </si>
  <si>
    <t>By Pass Ch.40/1 120v C/Disc.,Tarj24 Vdc, Sensor Volt 1.00 Bay Pass Automático 40a, 1f, 120/240v, 3h, 60hz, 1- Gabinete Met. 20x18x8 Nema 1, Con:</t>
  </si>
  <si>
    <t xml:space="preserve">3-Contactor Cutler Hammer 40-50aith Chxtce05d
1-Breakers Ts 40/1. F/C. 25kiac.
1-Twin Timer Jkn 110v
2-Luces Pilotos ( Ups-Emerg. )
2-Selector 3pos. (Manual-Auto-Prueba)
1-Selector 2pos. (Off-Enc. Planta)
1-Enclavamiento Eléctrico Y Mecánico
1-Encendido Remoto Planta
1-Sensor Reg. Volt. Dc (Baterías)
1-Discador Remoto
1-Sensor Reg. Volt. Ac
</t>
  </si>
  <si>
    <t>Panel de distribucion de 8 espacios , barra 100 amp</t>
  </si>
  <si>
    <t>Panel PI , 1 fase, 8 circuitos, 125 Amps similar, 2 conductores, IP 40A/1, breakers TQHL en el cuarto eléctrico con:</t>
  </si>
  <si>
    <t>Panel de distribucion de 8 espacios , barra 125 amp</t>
  </si>
  <si>
    <t xml:space="preserve"> Breaker de 15A</t>
  </si>
  <si>
    <t xml:space="preserve"> Panel PA  de 24 circuitos , 2 fases, 4 conductores, en  cuarto eléctrico, 120-240 VAC, IP de 150 A/2 , barra de 125 amps,  breakers THQL con:
♦ Breaker 15/1 amps (12 uds)</t>
  </si>
  <si>
    <t xml:space="preserve"> Breaker 15/1 amps (12 uds)</t>
  </si>
  <si>
    <t>Panel de distribucion de 24 espacios con barra de 125amp. 2 fases</t>
  </si>
  <si>
    <t>Breaker 20/1 amps (3 uds)</t>
  </si>
  <si>
    <t>Breaker 40/1 amps (1 uds)</t>
  </si>
  <si>
    <t>Breaker 30/2 amps (1 uds)</t>
  </si>
  <si>
    <t>Breaker 40/2 amps (2 uds)</t>
  </si>
  <si>
    <t xml:space="preserve"> 1 URD # 2 Concéntrico</t>
  </si>
  <si>
    <r>
      <rPr>
        <b/>
        <sz val="10"/>
        <color indexed="8"/>
        <rFont val="Open Sans"/>
        <family val="2"/>
      </rPr>
      <t>Alimentador Num. 1A:</t>
    </r>
    <r>
      <rPr>
        <sz val="10"/>
        <color indexed="8"/>
        <rFont val="Open Sans"/>
        <family val="2"/>
      </rPr>
      <t xml:space="preserve">
♦ 1 URD # 2 Concéntrico
♦ Tubo PVC Ø 2''
♦ Tubo IMC Ø 2''</t>
    </r>
  </si>
  <si>
    <t xml:space="preserve"> Tubo PVC Ø 2'' y curvas</t>
  </si>
  <si>
    <t>♦ 2 THHN # 1/0 (F)</t>
  </si>
  <si>
    <t>♦ 1 THHN # 2 (N)</t>
  </si>
  <si>
    <t>♦ 1 THHN # 4 (T)</t>
  </si>
  <si>
    <t>♦ Tubo EMT Ø 2''</t>
  </si>
  <si>
    <t>♦ 2 THHN # 4/0 (F)</t>
  </si>
  <si>
    <t>♦ 2 THHN # 2/0 (N)</t>
  </si>
  <si>
    <t>♦ 1 THHN # 2 (T)</t>
  </si>
  <si>
    <t>♦ Tubo emt Ø 3''</t>
  </si>
  <si>
    <r>
      <rPr>
        <b/>
        <sz val="10"/>
        <color indexed="8"/>
        <rFont val="Times New Roman"/>
        <family val="1"/>
      </rPr>
      <t xml:space="preserve">Alimentador Num. 2: </t>
    </r>
    <r>
      <rPr>
        <sz val="10"/>
        <color indexed="8"/>
        <rFont val="Times New Roman"/>
        <family val="1"/>
      </rPr>
      <t xml:space="preserve">
</t>
    </r>
  </si>
  <si>
    <t xml:space="preserve">Alimentador Num. 1: 
</t>
  </si>
  <si>
    <r>
      <rPr>
        <b/>
        <sz val="10"/>
        <color indexed="8"/>
        <rFont val="Times New Roman"/>
        <family val="1"/>
      </rPr>
      <t>Alimentador Num. 3:</t>
    </r>
    <r>
      <rPr>
        <sz val="10"/>
        <color indexed="8"/>
        <rFont val="Times New Roman"/>
        <family val="1"/>
      </rPr>
      <t xml:space="preserve"> 
♦ 2 THHN # 8 (F)
♦ 1 THHN # 10 (N)
♦ 1 THHN # 10 (T)
♦ Tubo EMT Ø 1''</t>
    </r>
  </si>
  <si>
    <r>
      <rPr>
        <b/>
        <sz val="10"/>
        <color indexed="8"/>
        <rFont val="Times New Roman"/>
        <family val="1"/>
      </rPr>
      <t>Alimentador Num. 4:</t>
    </r>
    <r>
      <rPr>
        <sz val="10"/>
        <color indexed="8"/>
        <rFont val="Times New Roman"/>
        <family val="1"/>
      </rPr>
      <t xml:space="preserve"> 
♦ 1 THHN # 8 (F)
♦ 1 THHN # 8 (N)
♦ 1 THHN # 10 (T)
♦ Tubo EMT Ø 1''</t>
    </r>
  </si>
  <si>
    <r>
      <rPr>
        <b/>
        <sz val="10"/>
        <color indexed="8"/>
        <rFont val="Times New Roman"/>
        <family val="1"/>
      </rPr>
      <t>Alimentador Num. 5:</t>
    </r>
    <r>
      <rPr>
        <sz val="10"/>
        <color indexed="8"/>
        <rFont val="Times New Roman"/>
        <family val="1"/>
      </rPr>
      <t xml:space="preserve"> 
♦ 2 THHN # 1/0 (F)
♦ 1 THHN # 8 (N)
♦ 1 THHN # 2 (T)
♦ Tubo EMT Ø 2''</t>
    </r>
  </si>
  <si>
    <r>
      <rPr>
        <b/>
        <sz val="10"/>
        <color indexed="8"/>
        <rFont val="Times New Roman"/>
        <family val="1"/>
      </rPr>
      <t>Alimentador Num. 6:</t>
    </r>
    <r>
      <rPr>
        <sz val="10"/>
        <color indexed="8"/>
        <rFont val="Times New Roman"/>
        <family val="1"/>
      </rPr>
      <t xml:space="preserve"> 
♦ 3 THHN # 8 (F)
♦ 1 THHN # 10 (N)
♦ 1 THHN # 10 (T)
♦ Tubo LT Ø 1''</t>
    </r>
  </si>
  <si>
    <t>SALIDAS DE INTERRUPTOR triple</t>
  </si>
  <si>
    <t xml:space="preserve">Alambre THW #12 amarillo  </t>
  </si>
  <si>
    <t xml:space="preserve">Salida, Suministro e instalación de data </t>
  </si>
  <si>
    <t xml:space="preserve">Salida CCTV,  se queda en el techo
</t>
  </si>
  <si>
    <t>saco</t>
  </si>
  <si>
    <t>1.00 </t>
  </si>
  <si>
    <t>Hora</t>
  </si>
  <si>
    <t xml:space="preserve">Cemento </t>
  </si>
  <si>
    <t xml:space="preserve">Peón </t>
  </si>
  <si>
    <t xml:space="preserve">Albañil </t>
  </si>
  <si>
    <t>Caja y vidrio contra incendios</t>
  </si>
  <si>
    <t xml:space="preserve">Salidas de Sistema de Seguridad (Pánico, rotura, sensor movimiento)
</t>
  </si>
  <si>
    <t xml:space="preserve">Ojos de Buey led de 6" de 12 watts, color 6500 K MARCO BLANCO 
</t>
  </si>
  <si>
    <t>♦ Tubo 4"x4"x3/16" HN</t>
  </si>
  <si>
    <t>♦ Protectores luces 30"x22"x1/8"</t>
  </si>
  <si>
    <t>♦ Registros Aéreos 6"x6"x20x3/16"</t>
  </si>
  <si>
    <t>♦ Registros en la Base 14"x11"x1/4"</t>
  </si>
  <si>
    <t>♦ Pintura anti oxido y de terminación en gris perla 08 de popular</t>
  </si>
  <si>
    <t>Confección e instalación de poste metálico para iluminación exterior, incluye:</t>
  </si>
  <si>
    <t>Base de hormigon armado a todo costo</t>
  </si>
  <si>
    <t>Reflector</t>
  </si>
  <si>
    <t>Ventilacion</t>
  </si>
  <si>
    <t xml:space="preserve">Codo </t>
  </si>
  <si>
    <t>Tubos de 1 1/2"</t>
  </si>
  <si>
    <t>Distribución  ø 1/2" (Desde Inapa) (Sum. e Inst., incluye piezas)</t>
  </si>
  <si>
    <t>Tubos de 1/2"</t>
  </si>
  <si>
    <t>Tubos de 6"</t>
  </si>
  <si>
    <t>Tubos de 2"</t>
  </si>
  <si>
    <t xml:space="preserve">Varilla de tierra </t>
  </si>
  <si>
    <t>Suministro e instalación Varilla de tierra 5/8''</t>
  </si>
  <si>
    <t>TOTAL GENERAL RD$</t>
  </si>
  <si>
    <t>Mochetas</t>
  </si>
  <si>
    <t>PROYECTO:</t>
  </si>
  <si>
    <t>Preliminares</t>
  </si>
  <si>
    <t>Trabajos Premliminares Inicio de Obra</t>
  </si>
  <si>
    <t>Letrero de Obra</t>
  </si>
  <si>
    <t>Levantamiento Topografico</t>
  </si>
  <si>
    <t xml:space="preserve">Caseta de Materiales </t>
  </si>
  <si>
    <t>Replanteo Topográfico</t>
  </si>
  <si>
    <t>Cierre Perimetral</t>
  </si>
  <si>
    <t>Seguridad</t>
  </si>
  <si>
    <t>Movimiento de Tierras</t>
  </si>
  <si>
    <t>Movimiento de Tierras General</t>
  </si>
  <si>
    <t>Corte y Bote de Capa Vegetal (h=0.50m)</t>
  </si>
  <si>
    <t>Relleno Compactado (h=0.50m)</t>
  </si>
  <si>
    <t>Pruebas de Compactación</t>
  </si>
  <si>
    <t>Fumigación Preventiva</t>
  </si>
  <si>
    <t>Charrancha</t>
  </si>
  <si>
    <t>Movimiento de Tierra</t>
  </si>
  <si>
    <t>Excavaciones para Zapatas</t>
  </si>
  <si>
    <t>Bote de Material</t>
  </si>
  <si>
    <t>Zapata de Muros</t>
  </si>
  <si>
    <t>Muros de Bloques</t>
  </si>
  <si>
    <t>Muros de Blocks</t>
  </si>
  <si>
    <t>Bloqcks de 8'' BNP</t>
  </si>
  <si>
    <t>Hormigón Armado BNP</t>
  </si>
  <si>
    <r>
      <t>m</t>
    </r>
    <r>
      <rPr>
        <vertAlign val="superscript"/>
        <sz val="18"/>
        <rFont val="Times New Roman"/>
        <family val="1"/>
      </rPr>
      <t>3</t>
    </r>
  </si>
  <si>
    <t>Bajo Nivel de Piso</t>
  </si>
  <si>
    <t>Muros Block de 8''</t>
  </si>
  <si>
    <t>Muros de Blocks 6''</t>
  </si>
  <si>
    <t>Terminación de Superficies</t>
  </si>
  <si>
    <t>Pañete en Muros</t>
  </si>
  <si>
    <t>Fraguache</t>
  </si>
  <si>
    <t>Cantos en General</t>
  </si>
  <si>
    <t>Terminación de Pisos</t>
  </si>
  <si>
    <t>Torta de Nivelación</t>
  </si>
  <si>
    <t>Pisos porcelanato 60x60 cms (derretido)</t>
  </si>
  <si>
    <t>Instalaciones Eléctricas</t>
  </si>
  <si>
    <t>Instalación Electrica General</t>
  </si>
  <si>
    <t>Cenefas Shettrock</t>
  </si>
  <si>
    <t>Relleno Interior</t>
  </si>
  <si>
    <t>Exteriores</t>
  </si>
  <si>
    <t>Relleno Plazoleta</t>
  </si>
  <si>
    <t>Hormigon Estampado Plazoleta</t>
  </si>
  <si>
    <t>Confeccion Escalones Plazoleya</t>
  </si>
  <si>
    <t>Plazoleta</t>
  </si>
  <si>
    <t>Jardineria</t>
  </si>
  <si>
    <t xml:space="preserve">Zapata </t>
  </si>
  <si>
    <t>Pañete</t>
  </si>
  <si>
    <t>Pintura</t>
  </si>
  <si>
    <t>Bloques de 8''</t>
  </si>
  <si>
    <t>Suministro y Colocación de Grama</t>
  </si>
  <si>
    <t>Suministro y Colocación de Arboles</t>
  </si>
  <si>
    <r>
      <t>Bote de Escombros en Camiones de 3m</t>
    </r>
    <r>
      <rPr>
        <vertAlign val="superscript"/>
        <sz val="18"/>
        <rFont val="Times New Roman"/>
        <family val="1"/>
      </rPr>
      <t>3</t>
    </r>
  </si>
  <si>
    <t xml:space="preserve">Uso de Andamios </t>
  </si>
  <si>
    <t>ud/mes</t>
  </si>
  <si>
    <t>Suministro y Colocación de Tierra Negra</t>
  </si>
  <si>
    <t>Pintura Base</t>
  </si>
  <si>
    <t>Pintura Superior</t>
  </si>
  <si>
    <t>ITBIS a Honorarios (Dirección Técnica), Norma 07-07 de la DGII (18% de la dirección técnica)</t>
  </si>
  <si>
    <t>M.O. Jardineria</t>
  </si>
  <si>
    <t>NO.</t>
  </si>
  <si>
    <t>AYUNTAMIENTO MUNICIPAL DE SOSUA</t>
  </si>
  <si>
    <t xml:space="preserve">POLIZAS SEGUROS, FIANZAS </t>
  </si>
  <si>
    <t xml:space="preserve"> Bajo Nivel de Piso</t>
  </si>
  <si>
    <t xml:space="preserve">Zapata de Columnas 0.60m x 0.25m </t>
  </si>
  <si>
    <t>Zapata de Columnas 0.45m x 0.25m</t>
  </si>
  <si>
    <t>Estructuras Metálicas Letras SOSUA</t>
  </si>
  <si>
    <t xml:space="preserve">Estructura Metálica </t>
  </si>
  <si>
    <t>Adoquines aceras</t>
  </si>
  <si>
    <t>PARADOR FOTOGRAFICO SOSUA</t>
  </si>
  <si>
    <t>MARTES 08 DE ENERO 2022</t>
  </si>
  <si>
    <t>Limpiaza Continua y Final en Obra</t>
  </si>
  <si>
    <t>Elaborado Por:</t>
  </si>
  <si>
    <t>Arq. Emmanuel Gómez</t>
  </si>
  <si>
    <t xml:space="preserve">Revisado por: </t>
  </si>
  <si>
    <t>Alcalde Wilfredo Olivences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</si>
</sst>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quot;£&quot;#,##0;\-&quot;£&quot;#,##0"/>
    <numFmt numFmtId="179" formatCode="0.0%"/>
    <numFmt numFmtId="180" formatCode="0.000"/>
    <numFmt numFmtId="181" formatCode="#,##0.00_ ;\-#,##0.00\ "/>
    <numFmt numFmtId="182" formatCode="#,##0.000"/>
    <numFmt numFmtId="183" formatCode="0.0000"/>
    <numFmt numFmtId="184" formatCode="#,##0.0000"/>
    <numFmt numFmtId="185" formatCode="[$-F800]dddd\,\ mmmm\ dd\,\ yyyy"/>
    <numFmt numFmtId="186" formatCode="&quot;$&quot;#,##0.00;\-&quot;$&quot;#,##0.00"/>
    <numFmt numFmtId="187" formatCode="[$-409]dddd\,\ mmmm\ dd\,\ yyyy"/>
    <numFmt numFmtId="188" formatCode="[$-1C0A]d&quot; de &quot;mmmm&quot; de &quot;yyyy;@"/>
    <numFmt numFmtId="189" formatCode="_(* #,##0_);_(* \(#,##0\);_(* &quot;-&quot;??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1C0A]dddd\,\ dd&quot; de &quot;mmmm&quot; de &quot;yyyy"/>
    <numFmt numFmtId="195" formatCode="[$-1C0A]dddd\,\ d\ &quot;de&quot;\ mmmm\ &quot;de&quot;\ yy"/>
    <numFmt numFmtId="196" formatCode="[$-409]dddd\,\ mmmm\ d\,\ yyyy"/>
    <numFmt numFmtId="197" formatCode="_-[$RD$-1C0A]* #,##0.00_-;\-[$RD$-1C0A]* #,##0.00_-;_-[$RD$-1C0A]* &quot;-&quot;??_-;_-@_-"/>
    <numFmt numFmtId="198" formatCode="#,##0.00000"/>
    <numFmt numFmtId="199" formatCode="#,##0.000000000"/>
    <numFmt numFmtId="200" formatCode="[$-409]h:mm:ss\ AM/PM"/>
    <numFmt numFmtId="201" formatCode="&quot;$&quot;#,##0.00"/>
    <numFmt numFmtId="202" formatCode="_([$$-1C0A]* #,##0.00_);_([$$-1C0A]* \(#,##0.00\);_([$$-1C0A]* &quot;-&quot;??_);_(@_)"/>
    <numFmt numFmtId="203" formatCode="[$$-1C0A]#,##0.00"/>
  </numFmts>
  <fonts count="107">
    <font>
      <sz val="10"/>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8"/>
      <name val="Arial"/>
      <family val="2"/>
    </font>
    <font>
      <b/>
      <sz val="9"/>
      <name val="Times New Roman"/>
      <family val="1"/>
    </font>
    <font>
      <sz val="9"/>
      <name val="Times New Roman"/>
      <family val="1"/>
    </font>
    <font>
      <sz val="10"/>
      <name val="Times New Roman"/>
      <family val="1"/>
    </font>
    <font>
      <sz val="12"/>
      <name val="Times New Roman"/>
      <family val="1"/>
    </font>
    <font>
      <b/>
      <sz val="10"/>
      <name val="Times New Roman"/>
      <family val="1"/>
    </font>
    <font>
      <sz val="11"/>
      <color indexed="8"/>
      <name val="Calibri"/>
      <family val="2"/>
    </font>
    <font>
      <sz val="8"/>
      <name val="Book Antiqua"/>
      <family val="1"/>
    </font>
    <font>
      <b/>
      <sz val="8"/>
      <name val="Book Antiqua"/>
      <family val="1"/>
    </font>
    <font>
      <sz val="10"/>
      <name val="Garamond"/>
      <family val="1"/>
    </font>
    <font>
      <sz val="9"/>
      <color indexed="8"/>
      <name val="Times New Roman"/>
      <family val="1"/>
    </font>
    <font>
      <sz val="10"/>
      <name val="MS Sans Serif"/>
      <family val="2"/>
    </font>
    <font>
      <sz val="12"/>
      <name val="Lucida Sans Unicode"/>
      <family val="2"/>
    </font>
    <font>
      <b/>
      <sz val="12"/>
      <name val="Times New Roman"/>
      <family val="1"/>
    </font>
    <font>
      <sz val="12"/>
      <name val="Arial"/>
      <family val="2"/>
    </font>
    <font>
      <b/>
      <sz val="26"/>
      <color indexed="10"/>
      <name val="Lucida Sans Unicode"/>
      <family val="2"/>
    </font>
    <font>
      <b/>
      <sz val="26"/>
      <name val="Lucida Sans Unicode"/>
      <family val="2"/>
    </font>
    <font>
      <b/>
      <sz val="26"/>
      <color indexed="53"/>
      <name val="Lucida Sans Unicode"/>
      <family val="2"/>
    </font>
    <font>
      <sz val="26"/>
      <name val="Arial"/>
      <family val="2"/>
    </font>
    <font>
      <sz val="12"/>
      <name val="Courier"/>
      <family val="3"/>
    </font>
    <font>
      <sz val="10"/>
      <color indexed="8"/>
      <name val="Times New Roman"/>
      <family val="1"/>
    </font>
    <font>
      <b/>
      <sz val="10"/>
      <color indexed="8"/>
      <name val="Times New Roman"/>
      <family val="1"/>
    </font>
    <font>
      <b/>
      <sz val="8"/>
      <name val="Times New Roman"/>
      <family val="1"/>
    </font>
    <font>
      <sz val="8"/>
      <name val="Times New Roman"/>
      <family val="1"/>
    </font>
    <font>
      <b/>
      <sz val="8"/>
      <name val="Palatino Linotype"/>
      <family val="1"/>
    </font>
    <font>
      <b/>
      <sz val="9"/>
      <color indexed="8"/>
      <name val="Times New Roman"/>
      <family val="1"/>
    </font>
    <font>
      <sz val="10"/>
      <color indexed="8"/>
      <name val="Garamond"/>
      <family val="1"/>
    </font>
    <font>
      <sz val="10"/>
      <color indexed="8"/>
      <name val="Open Sans"/>
      <family val="2"/>
    </font>
    <font>
      <b/>
      <sz val="10"/>
      <color indexed="8"/>
      <name val="Open Sans"/>
      <family val="2"/>
    </font>
    <font>
      <b/>
      <sz val="18"/>
      <name val="Times New Roman"/>
      <family val="1"/>
    </font>
    <font>
      <sz val="18"/>
      <name val="Times New Roman"/>
      <family val="1"/>
    </font>
    <font>
      <b/>
      <u val="single"/>
      <sz val="18"/>
      <name val="Times New Roman"/>
      <family val="1"/>
    </font>
    <font>
      <vertAlign val="superscript"/>
      <sz val="1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8"/>
      <name val="Calibri"/>
      <family val="2"/>
    </font>
    <font>
      <sz val="12"/>
      <color indexed="8"/>
      <name val="Calibri"/>
      <family val="2"/>
    </font>
    <font>
      <sz val="26"/>
      <color indexed="8"/>
      <name val="Calibri"/>
      <family val="2"/>
    </font>
    <font>
      <sz val="9"/>
      <color indexed="8"/>
      <name val="Arial"/>
      <family val="2"/>
    </font>
    <font>
      <b/>
      <sz val="10"/>
      <color indexed="10"/>
      <name val="Times New Roman"/>
      <family val="1"/>
    </font>
    <font>
      <sz val="18"/>
      <color indexed="8"/>
      <name val="Times New Roman"/>
      <family val="1"/>
    </font>
    <font>
      <sz val="18"/>
      <name val="Calibri"/>
      <family val="2"/>
    </font>
    <font>
      <b/>
      <sz val="16"/>
      <color indexed="8"/>
      <name val="Calibri"/>
      <family val="2"/>
    </font>
    <font>
      <b/>
      <sz val="26"/>
      <color indexed="9"/>
      <name val="Calibri"/>
      <family val="2"/>
    </font>
    <font>
      <sz val="20"/>
      <color indexed="9"/>
      <name val="Calibri"/>
      <family val="2"/>
    </font>
    <font>
      <sz val="20"/>
      <color indexed="8"/>
      <name val="Times New Roman"/>
      <family val="1"/>
    </font>
    <font>
      <b/>
      <sz val="18"/>
      <color indexed="63"/>
      <name val="Times New Roman"/>
      <family val="1"/>
    </font>
    <font>
      <b/>
      <sz val="18"/>
      <color indexed="8"/>
      <name val="Times New Roman"/>
      <family val="1"/>
    </font>
    <font>
      <b/>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rgb="FF000000"/>
      <name val="Times New Roman"/>
      <family val="1"/>
    </font>
    <font>
      <sz val="10"/>
      <color theme="1"/>
      <name val="Calibri"/>
      <family val="2"/>
    </font>
    <font>
      <sz val="12"/>
      <color theme="1"/>
      <name val="Calibri"/>
      <family val="2"/>
    </font>
    <font>
      <sz val="26"/>
      <color theme="1"/>
      <name val="Calibri"/>
      <family val="2"/>
    </font>
    <font>
      <b/>
      <sz val="26"/>
      <color theme="9" tint="-0.24997000396251678"/>
      <name val="Lucida Sans Unicode"/>
      <family val="2"/>
    </font>
    <font>
      <sz val="10"/>
      <color rgb="FF000000"/>
      <name val="Times New Roman"/>
      <family val="1"/>
    </font>
    <font>
      <sz val="9"/>
      <color rgb="FF000000"/>
      <name val="Arial"/>
      <family val="2"/>
    </font>
    <font>
      <sz val="9"/>
      <color theme="1"/>
      <name val="Times New Roman"/>
      <family val="1"/>
    </font>
    <font>
      <b/>
      <sz val="10"/>
      <color rgb="FFFF0000"/>
      <name val="Times New Roman"/>
      <family val="1"/>
    </font>
    <font>
      <b/>
      <sz val="10"/>
      <color theme="1"/>
      <name val="Times New Roman"/>
      <family val="1"/>
    </font>
    <font>
      <sz val="9"/>
      <color rgb="FF000000"/>
      <name val="Times New Roman"/>
      <family val="1"/>
    </font>
    <font>
      <sz val="18"/>
      <color theme="1"/>
      <name val="Times New Roman"/>
      <family val="1"/>
    </font>
    <font>
      <b/>
      <sz val="16"/>
      <color theme="1"/>
      <name val="Calibri"/>
      <family val="2"/>
    </font>
    <font>
      <b/>
      <sz val="26"/>
      <color theme="0"/>
      <name val="Calibri"/>
      <family val="2"/>
    </font>
    <font>
      <sz val="20"/>
      <color theme="0"/>
      <name val="Calibri"/>
      <family val="2"/>
    </font>
    <font>
      <sz val="20"/>
      <color theme="1"/>
      <name val="Times New Roman"/>
      <family val="1"/>
    </font>
    <font>
      <b/>
      <sz val="18"/>
      <color theme="1" tint="0.15000000596046448"/>
      <name val="Times New Roman"/>
      <family val="1"/>
    </font>
    <font>
      <b/>
      <sz val="18"/>
      <color theme="1"/>
      <name val="Times New Roman"/>
      <family val="1"/>
    </font>
    <font>
      <b/>
      <sz val="9"/>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6" tint="-0.24997000396251678"/>
        <bgColor indexed="64"/>
      </patternFill>
    </fill>
    <fill>
      <patternFill patternType="solid">
        <fgColor rgb="FFCCCCCC"/>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hair"/>
      <right style="hair"/>
      <top>
        <color indexed="63"/>
      </top>
      <bottom style="hair"/>
    </border>
    <border>
      <left style="medium"/>
      <right>
        <color indexed="63"/>
      </right>
      <top style="medium"/>
      <bottom style="medium"/>
    </border>
    <border>
      <left>
        <color indexed="63"/>
      </left>
      <right style="thin"/>
      <top>
        <color indexed="63"/>
      </top>
      <bottom>
        <color indexed="63"/>
      </bottom>
    </border>
    <border>
      <left style="hair"/>
      <right style="hair"/>
      <top style="medium"/>
      <bottom style="medium"/>
    </border>
    <border>
      <left>
        <color indexed="63"/>
      </left>
      <right style="hair"/>
      <top style="hair"/>
      <bottom style="hair"/>
    </border>
    <border>
      <left style="thin">
        <color indexed="22"/>
      </left>
      <right style="thin">
        <color indexed="22"/>
      </right>
      <top style="thin">
        <color indexed="22"/>
      </top>
      <bottom style="thin">
        <color indexed="22"/>
      </bottom>
    </border>
    <border>
      <left style="hair"/>
      <right style="hair"/>
      <top style="hair"/>
      <bottom>
        <color indexed="63"/>
      </bottom>
    </border>
    <border>
      <left style="hair"/>
      <right>
        <color indexed="63"/>
      </right>
      <top style="hair"/>
      <bottom style="hair"/>
    </border>
    <border>
      <left style="hair"/>
      <right style="medium">
        <color theme="0" tint="-0.24997000396251678"/>
      </right>
      <top style="hair"/>
      <bottom style="hair"/>
    </border>
    <border>
      <left style="hair"/>
      <right>
        <color indexed="63"/>
      </right>
      <top>
        <color indexed="63"/>
      </top>
      <bottom style="hair"/>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theme="0" tint="-0.24997000396251678"/>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color indexed="63"/>
      </right>
      <top>
        <color indexed="63"/>
      </top>
      <bottom style="mediu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color rgb="FF3F3F3F"/>
      </right>
      <top style="thin"/>
      <bottom style="thin">
        <color rgb="FF3F3F3F"/>
      </bottom>
    </border>
    <border>
      <left style="thin">
        <color rgb="FF3F3F3F"/>
      </left>
      <right style="thin">
        <color rgb="FF3F3F3F"/>
      </right>
      <top style="thin"/>
      <bottom style="thin">
        <color rgb="FF3F3F3F"/>
      </bottom>
    </border>
    <border>
      <left style="thin">
        <color rgb="FF3F3F3F"/>
      </left>
      <right style="thin"/>
      <top style="thin"/>
      <bottom style="thin">
        <color rgb="FF3F3F3F"/>
      </bottom>
    </border>
    <border>
      <left>
        <color indexed="63"/>
      </left>
      <right style="thin"/>
      <top>
        <color indexed="63"/>
      </top>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0"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0" fontId="0" fillId="0" borderId="0" applyFont="0" applyFill="0" applyBorder="0" applyAlignment="0" applyProtection="0"/>
    <xf numFmtId="178" fontId="0" fillId="0" borderId="0" applyFont="0" applyFill="0" applyBorder="0" applyAlignment="0" applyProtection="0"/>
    <xf numFmtId="40" fontId="1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2" fillId="31" borderId="0" applyNumberFormat="0" applyBorder="0" applyAlignment="0" applyProtection="0"/>
    <xf numFmtId="0" fontId="7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70" fillId="0" borderId="0">
      <alignment/>
      <protection/>
    </xf>
    <xf numFmtId="0" fontId="24" fillId="0" borderId="0">
      <alignment/>
      <protection/>
    </xf>
    <xf numFmtId="0" fontId="16"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22">
    <xf numFmtId="0" fontId="0" fillId="0" borderId="0" xfId="0" applyAlignment="1">
      <alignment/>
    </xf>
    <xf numFmtId="43" fontId="0" fillId="0" borderId="0" xfId="42" applyFont="1" applyAlignment="1">
      <alignment/>
    </xf>
    <xf numFmtId="0" fontId="0" fillId="0" borderId="0" xfId="0" applyAlignment="1">
      <alignment vertical="distributed"/>
    </xf>
    <xf numFmtId="0" fontId="0" fillId="0" borderId="0" xfId="0" applyAlignment="1">
      <alignment horizontal="justify" vertical="distributed"/>
    </xf>
    <xf numFmtId="0" fontId="2" fillId="0" borderId="0" xfId="0" applyFont="1" applyAlignment="1">
      <alignment/>
    </xf>
    <xf numFmtId="0" fontId="0" fillId="0" borderId="0" xfId="0" applyAlignment="1">
      <alignment horizontal="center"/>
    </xf>
    <xf numFmtId="0" fontId="1" fillId="0" borderId="0" xfId="0" applyFont="1" applyAlignment="1">
      <alignment/>
    </xf>
    <xf numFmtId="4" fontId="0" fillId="0" borderId="0" xfId="42" applyNumberFormat="1" applyFont="1" applyAlignment="1">
      <alignment horizontal="right"/>
    </xf>
    <xf numFmtId="4" fontId="1" fillId="0" borderId="0" xfId="42" applyNumberFormat="1" applyFont="1" applyAlignment="1">
      <alignment horizontal="right"/>
    </xf>
    <xf numFmtId="0" fontId="0" fillId="0" borderId="0" xfId="0" applyBorder="1" applyAlignment="1">
      <alignment/>
    </xf>
    <xf numFmtId="183" fontId="0" fillId="0" borderId="0" xfId="0" applyNumberFormat="1" applyAlignment="1">
      <alignment/>
    </xf>
    <xf numFmtId="183" fontId="2" fillId="0" borderId="0" xfId="0" applyNumberFormat="1" applyFont="1" applyAlignment="1">
      <alignment/>
    </xf>
    <xf numFmtId="4" fontId="0" fillId="0" borderId="0" xfId="42" applyNumberFormat="1" applyFont="1" applyAlignment="1">
      <alignment/>
    </xf>
    <xf numFmtId="184" fontId="0" fillId="0" borderId="0" xfId="0" applyNumberFormat="1" applyAlignment="1">
      <alignment/>
    </xf>
    <xf numFmtId="184" fontId="2" fillId="0" borderId="0" xfId="0" applyNumberFormat="1" applyFont="1" applyAlignment="1">
      <alignment/>
    </xf>
    <xf numFmtId="4" fontId="0" fillId="0" borderId="0" xfId="0" applyNumberFormat="1" applyAlignment="1">
      <alignment/>
    </xf>
    <xf numFmtId="0" fontId="9" fillId="0" borderId="0" xfId="0" applyFont="1" applyAlignment="1">
      <alignment horizontal="justify"/>
    </xf>
    <xf numFmtId="184" fontId="0" fillId="0" borderId="0" xfId="0" applyNumberFormat="1" applyBorder="1" applyAlignment="1">
      <alignment/>
    </xf>
    <xf numFmtId="183" fontId="0" fillId="0" borderId="0" xfId="0" applyNumberFormat="1" applyBorder="1" applyAlignment="1">
      <alignment/>
    </xf>
    <xf numFmtId="0" fontId="8" fillId="0" borderId="10" xfId="0" applyFont="1" applyBorder="1" applyAlignment="1">
      <alignment/>
    </xf>
    <xf numFmtId="43" fontId="8" fillId="0" borderId="10" xfId="42" applyFont="1" applyBorder="1" applyAlignment="1">
      <alignment/>
    </xf>
    <xf numFmtId="0" fontId="8" fillId="0" borderId="10" xfId="0" applyFont="1" applyFill="1" applyBorder="1" applyAlignment="1">
      <alignment horizontal="justify" vertical="distributed"/>
    </xf>
    <xf numFmtId="0" fontId="8" fillId="0" borderId="10" xfId="0" applyFont="1" applyFill="1" applyBorder="1" applyAlignment="1">
      <alignment horizontal="center"/>
    </xf>
    <xf numFmtId="43" fontId="8" fillId="0" borderId="10" xfId="42" applyFont="1" applyFill="1" applyBorder="1" applyAlignment="1">
      <alignment/>
    </xf>
    <xf numFmtId="0" fontId="8" fillId="0" borderId="10" xfId="0" applyFont="1" applyFill="1" applyBorder="1" applyAlignment="1">
      <alignment/>
    </xf>
    <xf numFmtId="4" fontId="8" fillId="0" borderId="10" xfId="42" applyNumberFormat="1" applyFont="1" applyFill="1" applyBorder="1" applyAlignment="1">
      <alignment/>
    </xf>
    <xf numFmtId="0" fontId="10" fillId="0" borderId="10" xfId="0" applyFont="1" applyBorder="1" applyAlignment="1">
      <alignment/>
    </xf>
    <xf numFmtId="0" fontId="8" fillId="0" borderId="10" xfId="0" applyFont="1" applyBorder="1" applyAlignment="1">
      <alignment horizontal="center"/>
    </xf>
    <xf numFmtId="4" fontId="10" fillId="0" borderId="10" xfId="42" applyNumberFormat="1" applyFont="1" applyFill="1" applyBorder="1" applyAlignment="1">
      <alignment/>
    </xf>
    <xf numFmtId="4" fontId="8" fillId="0" borderId="10" xfId="0" applyNumberFormat="1" applyFont="1" applyFill="1" applyBorder="1" applyAlignment="1">
      <alignment/>
    </xf>
    <xf numFmtId="4" fontId="70" fillId="0" borderId="0" xfId="72" applyNumberFormat="1" applyAlignment="1">
      <alignment vertical="center"/>
      <protection/>
    </xf>
    <xf numFmtId="0" fontId="70" fillId="0" borderId="0" xfId="72" applyAlignment="1">
      <alignment/>
      <protection/>
    </xf>
    <xf numFmtId="4" fontId="1" fillId="0" borderId="0" xfId="45" applyNumberFormat="1" applyFont="1" applyBorder="1" applyAlignment="1">
      <alignment/>
    </xf>
    <xf numFmtId="43" fontId="0" fillId="0" borderId="0" xfId="42" applyFont="1" applyBorder="1" applyAlignment="1">
      <alignment/>
    </xf>
    <xf numFmtId="0" fontId="12" fillId="0" borderId="0" xfId="0" applyFont="1" applyBorder="1" applyAlignment="1">
      <alignment wrapText="1"/>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justify" vertical="distributed" wrapText="1"/>
    </xf>
    <xf numFmtId="0" fontId="12" fillId="0" borderId="0" xfId="0" applyFont="1" applyBorder="1" applyAlignment="1">
      <alignment horizontal="center" vertical="distributed"/>
    </xf>
    <xf numFmtId="0" fontId="12" fillId="0" borderId="0" xfId="0" applyFont="1" applyBorder="1" applyAlignment="1">
      <alignment horizontal="justify" vertical="distributed"/>
    </xf>
    <xf numFmtId="4" fontId="1" fillId="0" borderId="0" xfId="45" applyNumberFormat="1" applyFont="1" applyBorder="1" applyAlignment="1">
      <alignment vertical="distributed"/>
    </xf>
    <xf numFmtId="4" fontId="12" fillId="0" borderId="0" xfId="42" applyNumberFormat="1" applyFont="1" applyBorder="1" applyAlignment="1">
      <alignment/>
    </xf>
    <xf numFmtId="0" fontId="12" fillId="0" borderId="0" xfId="75" applyFont="1" applyBorder="1">
      <alignment/>
      <protection/>
    </xf>
    <xf numFmtId="0" fontId="1" fillId="0" borderId="0" xfId="75" applyFont="1" applyBorder="1" applyAlignment="1">
      <alignment horizontal="center"/>
      <protection/>
    </xf>
    <xf numFmtId="0" fontId="1" fillId="0" borderId="0" xfId="75" applyFont="1" applyBorder="1">
      <alignment/>
      <protection/>
    </xf>
    <xf numFmtId="0" fontId="12" fillId="0" borderId="0" xfId="0" applyFont="1" applyBorder="1" applyAlignment="1">
      <alignment vertical="distributed" wrapText="1"/>
    </xf>
    <xf numFmtId="0" fontId="12" fillId="0" borderId="0" xfId="0" applyFont="1" applyBorder="1" applyAlignment="1">
      <alignment vertical="distributed"/>
    </xf>
    <xf numFmtId="4" fontId="12" fillId="0" borderId="0" xfId="0" applyNumberFormat="1" applyFont="1" applyBorder="1" applyAlignment="1">
      <alignment/>
    </xf>
    <xf numFmtId="4" fontId="13" fillId="0" borderId="0" xfId="0" applyNumberFormat="1" applyFont="1" applyFill="1" applyBorder="1" applyAlignment="1">
      <alignment/>
    </xf>
    <xf numFmtId="4" fontId="12" fillId="0" borderId="0" xfId="0" applyNumberFormat="1" applyFont="1" applyBorder="1" applyAlignment="1">
      <alignment horizontal="right" vertical="center" wrapText="1"/>
    </xf>
    <xf numFmtId="0" fontId="8" fillId="0" borderId="0" xfId="72" applyFont="1" applyBorder="1">
      <alignment/>
      <protection/>
    </xf>
    <xf numFmtId="0" fontId="8" fillId="0" borderId="0" xfId="72" applyFont="1" applyBorder="1" applyAlignment="1">
      <alignment horizontal="center"/>
      <protection/>
    </xf>
    <xf numFmtId="43" fontId="8" fillId="0" borderId="0" xfId="44" applyNumberFormat="1" applyFont="1" applyBorder="1" applyAlignment="1">
      <alignment/>
    </xf>
    <xf numFmtId="4" fontId="8" fillId="33" borderId="0" xfId="0" applyNumberFormat="1" applyFont="1" applyFill="1" applyBorder="1" applyAlignment="1">
      <alignment horizontal="right" vertical="center" wrapText="1"/>
    </xf>
    <xf numFmtId="0" fontId="8" fillId="0" borderId="0" xfId="0" applyFont="1" applyBorder="1" applyAlignment="1">
      <alignment/>
    </xf>
    <xf numFmtId="4" fontId="8" fillId="0" borderId="0" xfId="0" applyNumberFormat="1" applyFont="1" applyBorder="1" applyAlignment="1">
      <alignment horizontal="right"/>
    </xf>
    <xf numFmtId="0" fontId="87" fillId="33" borderId="0" xfId="0" applyFont="1" applyFill="1" applyBorder="1" applyAlignment="1">
      <alignment/>
    </xf>
    <xf numFmtId="0" fontId="8" fillId="0" borderId="0" xfId="0" applyFont="1" applyBorder="1" applyAlignment="1">
      <alignment horizontal="center"/>
    </xf>
    <xf numFmtId="4" fontId="87" fillId="33" borderId="0" xfId="0" applyNumberFormat="1" applyFont="1" applyFill="1" applyBorder="1" applyAlignment="1">
      <alignment horizontal="right" wrapText="1"/>
    </xf>
    <xf numFmtId="4" fontId="8" fillId="0" borderId="0" xfId="0" applyNumberFormat="1" applyFont="1" applyBorder="1" applyAlignment="1">
      <alignment/>
    </xf>
    <xf numFmtId="0" fontId="8" fillId="0" borderId="0" xfId="72" applyFont="1" applyBorder="1" applyAlignment="1">
      <alignment horizontal="justify" vertical="distributed"/>
      <protection/>
    </xf>
    <xf numFmtId="0" fontId="8" fillId="0" borderId="0" xfId="72" applyFont="1" applyBorder="1" applyAlignment="1">
      <alignment horizontal="center" vertical="distributed"/>
      <protection/>
    </xf>
    <xf numFmtId="43" fontId="8" fillId="0" borderId="0" xfId="44" applyNumberFormat="1" applyFont="1" applyBorder="1" applyAlignment="1">
      <alignment horizontal="justify" vertical="distributed"/>
    </xf>
    <xf numFmtId="0" fontId="8" fillId="0" borderId="0" xfId="0" applyFont="1" applyBorder="1" applyAlignment="1">
      <alignment horizontal="right"/>
    </xf>
    <xf numFmtId="0" fontId="14" fillId="0" borderId="10" xfId="0" applyFont="1" applyBorder="1" applyAlignment="1">
      <alignment/>
    </xf>
    <xf numFmtId="0" fontId="8" fillId="0" borderId="10" xfId="0" applyFont="1" applyBorder="1" applyAlignment="1">
      <alignment horizontal="justify"/>
    </xf>
    <xf numFmtId="0" fontId="88" fillId="0" borderId="0" xfId="0" applyFont="1" applyBorder="1" applyAlignment="1">
      <alignment vertical="top" wrapText="1"/>
    </xf>
    <xf numFmtId="0" fontId="87" fillId="0" borderId="0" xfId="0" applyFont="1" applyBorder="1" applyAlignment="1">
      <alignment vertical="top" wrapText="1"/>
    </xf>
    <xf numFmtId="0" fontId="87" fillId="0" borderId="0" xfId="0" applyFont="1" applyAlignment="1">
      <alignment horizontal="left" vertical="top" wrapText="1"/>
    </xf>
    <xf numFmtId="0" fontId="87" fillId="0" borderId="0" xfId="0" applyFont="1" applyAlignment="1">
      <alignment horizontal="center" vertical="top" wrapText="1"/>
    </xf>
    <xf numFmtId="2" fontId="87" fillId="0" borderId="0" xfId="0" applyNumberFormat="1" applyFont="1" applyAlignment="1">
      <alignment horizontal="right" vertical="top" wrapText="1"/>
    </xf>
    <xf numFmtId="180" fontId="87" fillId="0" borderId="0" xfId="0" applyNumberFormat="1" applyFont="1" applyAlignment="1">
      <alignment horizontal="right" vertical="top" wrapText="1"/>
    </xf>
    <xf numFmtId="4" fontId="8" fillId="0" borderId="10" xfId="73" applyNumberFormat="1" applyFont="1" applyFill="1" applyBorder="1" applyAlignment="1">
      <alignment horizontal="right"/>
      <protection/>
    </xf>
    <xf numFmtId="2" fontId="87" fillId="0" borderId="0" xfId="0" applyNumberFormat="1" applyFont="1" applyBorder="1" applyAlignment="1">
      <alignment horizontal="right" vertical="top" wrapText="1"/>
    </xf>
    <xf numFmtId="180" fontId="87" fillId="0" borderId="0" xfId="0" applyNumberFormat="1" applyFont="1" applyBorder="1" applyAlignment="1">
      <alignment horizontal="right" vertical="top" wrapText="1"/>
    </xf>
    <xf numFmtId="0" fontId="87" fillId="0" borderId="0" xfId="0" applyFont="1" applyAlignment="1">
      <alignment/>
    </xf>
    <xf numFmtId="4" fontId="87" fillId="0" borderId="0" xfId="0" applyNumberFormat="1" applyFont="1" applyAlignment="1">
      <alignment/>
    </xf>
    <xf numFmtId="0" fontId="10" fillId="0" borderId="10" xfId="0" applyFont="1" applyFill="1" applyBorder="1" applyAlignment="1">
      <alignment horizontal="left" wrapText="1"/>
    </xf>
    <xf numFmtId="4" fontId="10" fillId="0" borderId="10" xfId="0" applyNumberFormat="1" applyFont="1" applyFill="1" applyBorder="1" applyAlignment="1">
      <alignment horizontal="center" wrapText="1"/>
    </xf>
    <xf numFmtId="49" fontId="8" fillId="0" borderId="10" xfId="0" applyNumberFormat="1" applyFont="1" applyFill="1" applyBorder="1" applyAlignment="1">
      <alignment horizontal="left"/>
    </xf>
    <xf numFmtId="4" fontId="8" fillId="0" borderId="10" xfId="0" applyNumberFormat="1" applyFont="1" applyFill="1" applyBorder="1" applyAlignment="1">
      <alignment horizontal="center"/>
    </xf>
    <xf numFmtId="4" fontId="8" fillId="0" borderId="10" xfId="65" applyNumberFormat="1" applyFont="1" applyFill="1" applyBorder="1" applyAlignment="1">
      <alignment/>
    </xf>
    <xf numFmtId="4" fontId="8" fillId="0" borderId="10" xfId="65" applyNumberFormat="1" applyFont="1" applyFill="1" applyBorder="1" applyAlignment="1">
      <alignment horizontal="right"/>
    </xf>
    <xf numFmtId="0" fontId="2"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4" fillId="0" borderId="10" xfId="0" applyFont="1" applyBorder="1" applyAlignment="1">
      <alignment/>
    </xf>
    <xf numFmtId="0" fontId="55" fillId="0" borderId="10" xfId="0" applyFont="1" applyBorder="1" applyAlignment="1">
      <alignment/>
    </xf>
    <xf numFmtId="4" fontId="55" fillId="0" borderId="10" xfId="0" applyNumberFormat="1" applyFont="1" applyFill="1" applyBorder="1" applyAlignment="1">
      <alignment horizontal="center"/>
    </xf>
    <xf numFmtId="4" fontId="54" fillId="0" borderId="10" xfId="42" applyNumberFormat="1" applyFont="1" applyBorder="1" applyAlignment="1">
      <alignment horizontal="right"/>
    </xf>
    <xf numFmtId="4" fontId="54" fillId="0" borderId="10" xfId="0" applyNumberFormat="1" applyFont="1" applyBorder="1" applyAlignment="1">
      <alignment/>
    </xf>
    <xf numFmtId="4" fontId="54" fillId="0" borderId="10" xfId="45" applyNumberFormat="1" applyFont="1" applyBorder="1" applyAlignment="1">
      <alignment/>
    </xf>
    <xf numFmtId="0" fontId="54" fillId="0" borderId="10" xfId="0" applyFont="1" applyBorder="1" applyAlignment="1">
      <alignment horizontal="justify" vertical="distributed"/>
    </xf>
    <xf numFmtId="4" fontId="54" fillId="0" borderId="10" xfId="45" applyNumberFormat="1" applyFont="1" applyBorder="1" applyAlignment="1">
      <alignment vertical="distributed"/>
    </xf>
    <xf numFmtId="4" fontId="54" fillId="0" borderId="10" xfId="42" applyNumberFormat="1" applyFont="1" applyBorder="1" applyAlignment="1">
      <alignment/>
    </xf>
    <xf numFmtId="0" fontId="54" fillId="0" borderId="10" xfId="0" applyFont="1" applyBorder="1" applyAlignment="1">
      <alignment wrapText="1"/>
    </xf>
    <xf numFmtId="0" fontId="54" fillId="0" borderId="10" xfId="0" applyFont="1" applyBorder="1" applyAlignment="1">
      <alignment horizontal="left"/>
    </xf>
    <xf numFmtId="0" fontId="54" fillId="0" borderId="10" xfId="0" applyFont="1" applyFill="1" applyBorder="1" applyAlignment="1">
      <alignment vertical="distributed"/>
    </xf>
    <xf numFmtId="0" fontId="54" fillId="0" borderId="10" xfId="0" applyFont="1" applyBorder="1" applyAlignment="1">
      <alignment vertical="distributed"/>
    </xf>
    <xf numFmtId="0" fontId="54" fillId="0" borderId="10" xfId="0" applyFont="1" applyFill="1" applyBorder="1" applyAlignment="1">
      <alignment/>
    </xf>
    <xf numFmtId="43" fontId="54" fillId="0" borderId="10" xfId="42" applyFont="1" applyFill="1" applyBorder="1" applyAlignment="1">
      <alignment horizontal="center"/>
    </xf>
    <xf numFmtId="0" fontId="54" fillId="0" borderId="10" xfId="0" applyFont="1" applyFill="1" applyBorder="1" applyAlignment="1">
      <alignment horizontal="left"/>
    </xf>
    <xf numFmtId="0" fontId="55" fillId="0" borderId="10" xfId="0" applyFont="1" applyBorder="1" applyAlignment="1">
      <alignment/>
    </xf>
    <xf numFmtId="4" fontId="55" fillId="0" borderId="10" xfId="0" applyNumberFormat="1" applyFont="1" applyBorder="1" applyAlignment="1">
      <alignment/>
    </xf>
    <xf numFmtId="0" fontId="89" fillId="33" borderId="10" xfId="0" applyFont="1" applyFill="1" applyBorder="1" applyAlignment="1">
      <alignment/>
    </xf>
    <xf numFmtId="4" fontId="89" fillId="33" borderId="10" xfId="0" applyNumberFormat="1" applyFont="1" applyFill="1" applyBorder="1" applyAlignment="1">
      <alignment horizontal="right" wrapText="1"/>
    </xf>
    <xf numFmtId="0" fontId="54" fillId="0" borderId="10" xfId="0" applyFont="1" applyFill="1" applyBorder="1" applyAlignment="1">
      <alignment horizontal="left" vertical="center"/>
    </xf>
    <xf numFmtId="4" fontId="54" fillId="0" borderId="10" xfId="42" applyNumberFormat="1" applyFont="1" applyFill="1" applyBorder="1" applyAlignment="1">
      <alignment horizontal="right"/>
    </xf>
    <xf numFmtId="0" fontId="54" fillId="0" borderId="10" xfId="0" applyFont="1" applyBorder="1" applyAlignment="1">
      <alignment horizontal="justify" vertical="top" wrapText="1"/>
    </xf>
    <xf numFmtId="0" fontId="54" fillId="0" borderId="10" xfId="0" applyFont="1" applyBorder="1" applyAlignment="1">
      <alignment horizontal="right" vertical="top" wrapText="1"/>
    </xf>
    <xf numFmtId="0" fontId="70" fillId="0" borderId="0" xfId="72" applyAlignment="1">
      <alignment horizontal="center"/>
      <protection/>
    </xf>
    <xf numFmtId="0" fontId="17" fillId="0" borderId="0" xfId="0" applyFont="1" applyBorder="1" applyAlignment="1">
      <alignment horizontal="center" vertical="center" wrapText="1"/>
    </xf>
    <xf numFmtId="0" fontId="90" fillId="0" borderId="0" xfId="0" applyFont="1" applyBorder="1" applyAlignment="1">
      <alignment horizontal="center" wrapText="1"/>
    </xf>
    <xf numFmtId="0" fontId="90" fillId="0" borderId="0" xfId="0" applyFont="1" applyBorder="1" applyAlignment="1">
      <alignment wrapText="1"/>
    </xf>
    <xf numFmtId="0" fontId="90" fillId="0" borderId="0" xfId="0" applyFont="1" applyBorder="1" applyAlignment="1">
      <alignment horizontal="right" wrapText="1"/>
    </xf>
    <xf numFmtId="4" fontId="18" fillId="0" borderId="0" xfId="62" applyNumberFormat="1" applyFont="1" applyFill="1" applyAlignment="1">
      <alignment horizontal="right"/>
    </xf>
    <xf numFmtId="0" fontId="3" fillId="0" borderId="0" xfId="56" applyBorder="1" applyAlignment="1" applyProtection="1">
      <alignment horizontal="center" wrapText="1"/>
      <protection/>
    </xf>
    <xf numFmtId="4" fontId="18" fillId="0" borderId="0" xfId="62" applyNumberFormat="1" applyFont="1" applyFill="1" applyBorder="1" applyAlignment="1">
      <alignment horizontal="right"/>
    </xf>
    <xf numFmtId="4" fontId="19" fillId="0" borderId="14" xfId="62" applyNumberFormat="1" applyFont="1" applyFill="1" applyBorder="1" applyAlignment="1">
      <alignment horizontal="right" vertical="center"/>
    </xf>
    <xf numFmtId="0" fontId="90" fillId="34" borderId="15" xfId="0" applyFont="1" applyFill="1" applyBorder="1" applyAlignment="1">
      <alignment wrapText="1"/>
    </xf>
    <xf numFmtId="0" fontId="70" fillId="0" borderId="0" xfId="72" applyBorder="1" applyAlignment="1">
      <alignment/>
      <protection/>
    </xf>
    <xf numFmtId="0" fontId="5" fillId="0" borderId="16" xfId="0" applyFont="1" applyBorder="1" applyAlignment="1">
      <alignment horizontal="center"/>
    </xf>
    <xf numFmtId="4" fontId="70" fillId="0" borderId="17" xfId="72" applyNumberFormat="1" applyBorder="1" applyAlignment="1">
      <alignment vertical="center"/>
      <protection/>
    </xf>
    <xf numFmtId="0" fontId="70" fillId="0" borderId="0" xfId="72" applyBorder="1">
      <alignment/>
      <protection/>
    </xf>
    <xf numFmtId="0" fontId="70" fillId="0" borderId="0" xfId="72" applyBorder="1" applyAlignment="1">
      <alignment horizontal="center" vertical="center"/>
      <protection/>
    </xf>
    <xf numFmtId="0" fontId="70" fillId="0" borderId="0" xfId="72" applyBorder="1" applyAlignment="1">
      <alignment horizontal="center"/>
      <protection/>
    </xf>
    <xf numFmtId="4" fontId="91" fillId="0" borderId="0" xfId="72" applyNumberFormat="1" applyFont="1" applyBorder="1" applyAlignment="1">
      <alignment vertical="center"/>
      <protection/>
    </xf>
    <xf numFmtId="0" fontId="23" fillId="0" borderId="0" xfId="0" applyFont="1" applyAlignment="1">
      <alignment/>
    </xf>
    <xf numFmtId="184" fontId="23" fillId="0" borderId="0" xfId="0" applyNumberFormat="1" applyFont="1" applyAlignment="1">
      <alignment/>
    </xf>
    <xf numFmtId="183" fontId="23" fillId="0" borderId="0" xfId="0" applyNumberFormat="1" applyFont="1" applyAlignment="1">
      <alignment/>
    </xf>
    <xf numFmtId="0" fontId="90" fillId="34" borderId="0" xfId="0" applyFont="1" applyFill="1" applyBorder="1" applyAlignment="1">
      <alignment wrapText="1"/>
    </xf>
    <xf numFmtId="0" fontId="17" fillId="0" borderId="18" xfId="0" applyFont="1" applyBorder="1" applyAlignment="1">
      <alignment horizontal="center" vertical="center" wrapText="1"/>
    </xf>
    <xf numFmtId="0" fontId="92" fillId="0" borderId="0" xfId="0" applyFont="1" applyBorder="1" applyAlignment="1">
      <alignment vertical="center"/>
    </xf>
    <xf numFmtId="4" fontId="90" fillId="0" borderId="0" xfId="0" applyNumberFormat="1" applyFont="1" applyBorder="1" applyAlignment="1">
      <alignment horizontal="center" wrapText="1"/>
    </xf>
    <xf numFmtId="4" fontId="8" fillId="0" borderId="10" xfId="0" applyNumberFormat="1" applyFont="1" applyBorder="1" applyAlignment="1">
      <alignment/>
    </xf>
    <xf numFmtId="4" fontId="8" fillId="0" borderId="10" xfId="42" applyNumberFormat="1" applyFont="1" applyBorder="1" applyAlignment="1">
      <alignment/>
    </xf>
    <xf numFmtId="0" fontId="5" fillId="0" borderId="19" xfId="0" applyFont="1" applyBorder="1" applyAlignment="1">
      <alignment horizontal="center"/>
    </xf>
    <xf numFmtId="0" fontId="6" fillId="0" borderId="19" xfId="0" applyFont="1" applyFill="1" applyBorder="1" applyAlignment="1">
      <alignment horizontal="justify" vertical="distributed"/>
    </xf>
    <xf numFmtId="0" fontId="6" fillId="0" borderId="19" xfId="0" applyFont="1" applyFill="1" applyBorder="1" applyAlignment="1">
      <alignment horizontal="center"/>
    </xf>
    <xf numFmtId="43" fontId="6" fillId="0" borderId="19" xfId="42" applyFont="1" applyFill="1" applyBorder="1" applyAlignment="1">
      <alignment/>
    </xf>
    <xf numFmtId="0" fontId="6" fillId="0" borderId="19" xfId="0" applyFont="1" applyFill="1" applyBorder="1" applyAlignment="1">
      <alignment/>
    </xf>
    <xf numFmtId="4" fontId="6" fillId="0" borderId="19" xfId="0" applyNumberFormat="1" applyFont="1" applyFill="1" applyBorder="1" applyAlignment="1">
      <alignment/>
    </xf>
    <xf numFmtId="4" fontId="6" fillId="0" borderId="19" xfId="42" applyNumberFormat="1" applyFont="1" applyFill="1" applyBorder="1" applyAlignment="1">
      <alignment/>
    </xf>
    <xf numFmtId="43" fontId="0" fillId="0" borderId="0" xfId="0" applyNumberFormat="1" applyAlignment="1">
      <alignment/>
    </xf>
    <xf numFmtId="4" fontId="93" fillId="0" borderId="10" xfId="0" applyNumberFormat="1" applyFont="1" applyBorder="1" applyAlignment="1">
      <alignment vertical="center"/>
    </xf>
    <xf numFmtId="4" fontId="93" fillId="0" borderId="10" xfId="0" applyNumberFormat="1" applyFont="1" applyBorder="1" applyAlignment="1">
      <alignment horizontal="center" vertical="center"/>
    </xf>
    <xf numFmtId="4" fontId="93" fillId="0" borderId="10" xfId="0" applyNumberFormat="1" applyFont="1" applyBorder="1" applyAlignment="1">
      <alignment horizontal="right" vertical="center"/>
    </xf>
    <xf numFmtId="4" fontId="88" fillId="0" borderId="10" xfId="0" applyNumberFormat="1" applyFont="1" applyBorder="1" applyAlignment="1">
      <alignment horizontal="right" vertical="center"/>
    </xf>
    <xf numFmtId="4" fontId="94" fillId="33" borderId="0" xfId="0" applyNumberFormat="1" applyFont="1" applyFill="1" applyAlignment="1">
      <alignment horizontal="right" vertical="center" wrapText="1"/>
    </xf>
    <xf numFmtId="4" fontId="95" fillId="0" borderId="20" xfId="42" applyNumberFormat="1" applyFont="1" applyBorder="1" applyAlignment="1">
      <alignment horizontal="right"/>
    </xf>
    <xf numFmtId="4" fontId="6" fillId="0" borderId="20" xfId="42" applyNumberFormat="1" applyFont="1" applyBorder="1" applyAlignment="1">
      <alignment horizontal="right"/>
    </xf>
    <xf numFmtId="4" fontId="6" fillId="0" borderId="20" xfId="42" applyNumberFormat="1" applyFont="1" applyFill="1" applyBorder="1" applyAlignment="1">
      <alignment horizontal="righ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4" fontId="54" fillId="0" borderId="0" xfId="0" applyNumberFormat="1" applyFont="1" applyAlignment="1">
      <alignment/>
    </xf>
    <xf numFmtId="4" fontId="88" fillId="0" borderId="10" xfId="0" applyNumberFormat="1" applyFont="1" applyBorder="1" applyAlignment="1">
      <alignment vertical="center"/>
    </xf>
    <xf numFmtId="43" fontId="88" fillId="0" borderId="10" xfId="0" applyNumberFormat="1" applyFont="1" applyBorder="1" applyAlignment="1">
      <alignment horizontal="justify"/>
    </xf>
    <xf numFmtId="43" fontId="14" fillId="0" borderId="10" xfId="60" applyNumberFormat="1" applyFont="1" applyBorder="1" applyAlignment="1">
      <alignment/>
    </xf>
    <xf numFmtId="0" fontId="0" fillId="0" borderId="0" xfId="0" applyFont="1" applyAlignment="1">
      <alignment/>
    </xf>
    <xf numFmtId="43" fontId="6" fillId="0" borderId="10" xfId="45" applyFont="1" applyBorder="1" applyAlignment="1">
      <alignment horizontal="right"/>
    </xf>
    <xf numFmtId="4" fontId="7" fillId="0" borderId="10" xfId="42" applyNumberFormat="1" applyFont="1" applyFill="1" applyBorder="1" applyAlignment="1">
      <alignment horizontal="right"/>
    </xf>
    <xf numFmtId="0" fontId="8" fillId="0" borderId="10" xfId="73" applyFont="1" applyBorder="1">
      <alignment/>
      <protection/>
    </xf>
    <xf numFmtId="0" fontId="8" fillId="0" borderId="10" xfId="73" applyFont="1" applyBorder="1" applyAlignment="1">
      <alignment horizontal="center"/>
      <protection/>
    </xf>
    <xf numFmtId="4" fontId="8" fillId="0" borderId="0" xfId="42" applyNumberFormat="1" applyFont="1" applyAlignment="1">
      <alignment/>
    </xf>
    <xf numFmtId="0" fontId="8" fillId="0" borderId="10" xfId="0" applyFont="1" applyBorder="1" applyAlignment="1">
      <alignment horizontal="justify" vertical="distributed"/>
    </xf>
    <xf numFmtId="0" fontId="8" fillId="0" borderId="10" xfId="0" applyFont="1" applyBorder="1" applyAlignment="1">
      <alignment horizontal="center" vertical="distributed"/>
    </xf>
    <xf numFmtId="0" fontId="10" fillId="0" borderId="16" xfId="0" applyFont="1" applyFill="1" applyBorder="1" applyAlignment="1">
      <alignment horizontal="justify" vertical="distributed"/>
    </xf>
    <xf numFmtId="0" fontId="10" fillId="0" borderId="16" xfId="0" applyFont="1" applyFill="1" applyBorder="1" applyAlignment="1">
      <alignment horizontal="center"/>
    </xf>
    <xf numFmtId="43" fontId="10" fillId="0" borderId="16" xfId="42" applyFont="1" applyFill="1" applyBorder="1" applyAlignment="1">
      <alignment/>
    </xf>
    <xf numFmtId="0" fontId="10" fillId="0" borderId="16" xfId="0" applyFont="1" applyFill="1" applyBorder="1" applyAlignment="1">
      <alignment/>
    </xf>
    <xf numFmtId="4" fontId="10" fillId="0" borderId="16" xfId="0" applyNumberFormat="1" applyFont="1" applyFill="1" applyBorder="1" applyAlignment="1">
      <alignment/>
    </xf>
    <xf numFmtId="4" fontId="10" fillId="0" borderId="16" xfId="42" applyNumberFormat="1" applyFont="1" applyFill="1" applyBorder="1" applyAlignment="1">
      <alignment/>
    </xf>
    <xf numFmtId="0" fontId="10" fillId="0" borderId="10" xfId="0" applyFont="1" applyFill="1" applyBorder="1" applyAlignment="1">
      <alignment horizontal="justify" vertical="distributed"/>
    </xf>
    <xf numFmtId="0" fontId="10" fillId="0" borderId="10" xfId="0" applyFont="1" applyFill="1" applyBorder="1" applyAlignment="1">
      <alignment horizontal="center"/>
    </xf>
    <xf numFmtId="43" fontId="10" fillId="0" borderId="10" xfId="42" applyFont="1" applyFill="1" applyBorder="1" applyAlignment="1">
      <alignment/>
    </xf>
    <xf numFmtId="0" fontId="10" fillId="0" borderId="10" xfId="0" applyFont="1" applyFill="1" applyBorder="1" applyAlignment="1">
      <alignment/>
    </xf>
    <xf numFmtId="4" fontId="10" fillId="0" borderId="10" xfId="0" applyNumberFormat="1" applyFont="1" applyFill="1" applyBorder="1" applyAlignment="1">
      <alignment/>
    </xf>
    <xf numFmtId="0" fontId="8" fillId="0" borderId="10" xfId="79" applyFont="1" applyFill="1" applyBorder="1" applyAlignment="1" applyProtection="1">
      <alignment horizontal="left" vertical="center"/>
      <protection/>
    </xf>
    <xf numFmtId="4" fontId="8" fillId="0" borderId="10" xfId="79" applyNumberFormat="1" applyFont="1" applyFill="1" applyBorder="1" applyAlignment="1" applyProtection="1">
      <alignment horizontal="center" vertical="center"/>
      <protection/>
    </xf>
    <xf numFmtId="4" fontId="8" fillId="0" borderId="10" xfId="79" applyNumberFormat="1" applyFont="1" applyFill="1" applyBorder="1" applyAlignment="1" applyProtection="1">
      <alignment horizontal="right" vertical="center"/>
      <protection/>
    </xf>
    <xf numFmtId="180" fontId="25" fillId="0" borderId="10" xfId="0" applyNumberFormat="1" applyFont="1" applyBorder="1" applyAlignment="1">
      <alignment/>
    </xf>
    <xf numFmtId="4" fontId="25" fillId="0" borderId="10" xfId="0" applyNumberFormat="1" applyFont="1" applyBorder="1" applyAlignment="1">
      <alignment/>
    </xf>
    <xf numFmtId="4" fontId="8" fillId="0" borderId="10" xfId="79" applyNumberFormat="1" applyFont="1" applyFill="1" applyBorder="1" applyAlignment="1" applyProtection="1">
      <alignment horizontal="right"/>
      <protection/>
    </xf>
    <xf numFmtId="4" fontId="8" fillId="0" borderId="10" xfId="82" applyNumberFormat="1" applyFont="1" applyFill="1" applyBorder="1" applyAlignment="1" applyProtection="1">
      <alignment horizontal="right"/>
      <protection locked="0"/>
    </xf>
    <xf numFmtId="0" fontId="10" fillId="0" borderId="10" xfId="78" applyFont="1" applyFill="1" applyBorder="1" applyAlignment="1" applyProtection="1">
      <alignment wrapText="1"/>
      <protection/>
    </xf>
    <xf numFmtId="4" fontId="10" fillId="0" borderId="10" xfId="79" applyNumberFormat="1" applyFont="1" applyFill="1" applyBorder="1" applyAlignment="1" applyProtection="1">
      <alignment horizontal="center"/>
      <protection/>
    </xf>
    <xf numFmtId="184" fontId="10" fillId="0" borderId="10" xfId="68" applyNumberFormat="1" applyFont="1" applyFill="1" applyBorder="1" applyAlignment="1">
      <alignment horizontal="right"/>
    </xf>
    <xf numFmtId="4" fontId="10" fillId="0" borderId="10" xfId="79" applyNumberFormat="1" applyFont="1" applyFill="1" applyBorder="1" applyAlignment="1" applyProtection="1">
      <alignment horizontal="right" vertical="center"/>
      <protection/>
    </xf>
    <xf numFmtId="0" fontId="8" fillId="0" borderId="10" xfId="79" applyFont="1" applyFill="1" applyBorder="1" applyAlignment="1" applyProtection="1">
      <alignment horizontal="center"/>
      <protection/>
    </xf>
    <xf numFmtId="4" fontId="8" fillId="0" borderId="10" xfId="67" applyNumberFormat="1" applyFont="1" applyFill="1" applyBorder="1" applyAlignment="1" applyProtection="1">
      <alignment horizontal="right"/>
      <protection locked="0"/>
    </xf>
    <xf numFmtId="4" fontId="8" fillId="0" borderId="10" xfId="67" applyNumberFormat="1" applyFont="1" applyFill="1" applyBorder="1" applyAlignment="1" applyProtection="1">
      <alignment horizontal="right"/>
      <protection/>
    </xf>
    <xf numFmtId="4" fontId="8" fillId="0" borderId="10" xfId="82" applyNumberFormat="1" applyFont="1" applyFill="1" applyBorder="1" applyAlignment="1" applyProtection="1">
      <alignment horizontal="right"/>
      <protection/>
    </xf>
    <xf numFmtId="4" fontId="10" fillId="0" borderId="10" xfId="79" applyNumberFormat="1" applyFont="1" applyFill="1" applyBorder="1" applyAlignment="1" applyProtection="1">
      <alignment horizontal="center" vertical="center"/>
      <protection/>
    </xf>
    <xf numFmtId="184" fontId="10" fillId="0" borderId="10" xfId="78" applyNumberFormat="1" applyFont="1" applyFill="1" applyBorder="1" applyAlignment="1" applyProtection="1">
      <alignment horizontal="right"/>
      <protection/>
    </xf>
    <xf numFmtId="40" fontId="10" fillId="0" borderId="10" xfId="68" applyFont="1" applyFill="1" applyBorder="1" applyAlignment="1">
      <alignment horizontal="right" vertical="center"/>
    </xf>
    <xf numFmtId="184" fontId="8" fillId="0" borderId="10" xfId="79" applyNumberFormat="1" applyFont="1" applyFill="1" applyBorder="1" applyAlignment="1" applyProtection="1">
      <alignment horizontal="right"/>
      <protection/>
    </xf>
    <xf numFmtId="4" fontId="8" fillId="0" borderId="10" xfId="79" applyNumberFormat="1" applyFont="1" applyFill="1" applyBorder="1" applyAlignment="1" applyProtection="1">
      <alignment horizontal="right" vertical="center"/>
      <protection locked="0"/>
    </xf>
    <xf numFmtId="184" fontId="8" fillId="0" borderId="10" xfId="82" applyNumberFormat="1" applyFont="1" applyFill="1" applyBorder="1" applyAlignment="1" applyProtection="1">
      <alignment horizontal="right"/>
      <protection locked="0"/>
    </xf>
    <xf numFmtId="171" fontId="10" fillId="0" borderId="10" xfId="67" applyNumberFormat="1" applyFont="1" applyFill="1" applyBorder="1" applyAlignment="1" applyProtection="1">
      <alignment/>
      <protection/>
    </xf>
    <xf numFmtId="39" fontId="8" fillId="0" borderId="10" xfId="78" applyNumberFormat="1" applyFont="1" applyFill="1" applyBorder="1" applyAlignment="1" applyProtection="1">
      <alignment horizontal="center"/>
      <protection/>
    </xf>
    <xf numFmtId="4" fontId="8" fillId="0" borderId="10" xfId="78" applyNumberFormat="1" applyFont="1" applyFill="1" applyBorder="1" applyAlignment="1" applyProtection="1">
      <alignment horizontal="center"/>
      <protection/>
    </xf>
    <xf numFmtId="40" fontId="8" fillId="0" borderId="10" xfId="68" applyFont="1" applyFill="1" applyBorder="1" applyAlignment="1">
      <alignment horizontal="right" vertical="center"/>
    </xf>
    <xf numFmtId="171" fontId="8" fillId="0" borderId="10" xfId="67" applyNumberFormat="1" applyFont="1" applyFill="1" applyBorder="1" applyAlignment="1" applyProtection="1">
      <alignment/>
      <protection/>
    </xf>
    <xf numFmtId="2" fontId="8" fillId="0" borderId="10" xfId="79" applyNumberFormat="1" applyFont="1" applyFill="1" applyBorder="1" applyAlignment="1" applyProtection="1">
      <alignment horizontal="center"/>
      <protection/>
    </xf>
    <xf numFmtId="179" fontId="8" fillId="0" borderId="10" xfId="83" applyNumberFormat="1" applyFont="1" applyFill="1" applyBorder="1" applyAlignment="1" applyProtection="1">
      <alignment horizontal="center"/>
      <protection locked="0"/>
    </xf>
    <xf numFmtId="39" fontId="8" fillId="0" borderId="10" xfId="79" applyNumberFormat="1" applyFont="1" applyFill="1" applyBorder="1" applyAlignment="1" applyProtection="1">
      <alignment horizontal="right" vertical="center"/>
      <protection/>
    </xf>
    <xf numFmtId="4" fontId="8" fillId="0" borderId="10" xfId="79" applyNumberFormat="1" applyFont="1" applyFill="1" applyBorder="1" applyAlignment="1" applyProtection="1">
      <alignment horizontal="center"/>
      <protection/>
    </xf>
    <xf numFmtId="4" fontId="8" fillId="0" borderId="10" xfId="68" applyNumberFormat="1" applyFont="1" applyFill="1" applyBorder="1" applyAlignment="1">
      <alignment horizontal="right" vertical="center"/>
    </xf>
    <xf numFmtId="4" fontId="8" fillId="0" borderId="10" xfId="73" applyNumberFormat="1" applyFont="1" applyBorder="1">
      <alignment/>
      <protection/>
    </xf>
    <xf numFmtId="180" fontId="25" fillId="0" borderId="10" xfId="73" applyNumberFormat="1" applyFont="1" applyBorder="1">
      <alignment/>
      <protection/>
    </xf>
    <xf numFmtId="4" fontId="8" fillId="0" borderId="10" xfId="67" applyNumberFormat="1" applyFont="1" applyFill="1" applyBorder="1" applyAlignment="1" applyProtection="1">
      <alignment horizontal="right" vertical="center"/>
      <protection locked="0"/>
    </xf>
    <xf numFmtId="4" fontId="8" fillId="0" borderId="10" xfId="83" applyNumberFormat="1" applyFont="1" applyFill="1" applyBorder="1" applyAlignment="1" applyProtection="1">
      <alignment horizontal="right" vertical="center"/>
      <protection locked="0"/>
    </xf>
    <xf numFmtId="0" fontId="8" fillId="0" borderId="10" xfId="79" applyFont="1" applyFill="1" applyBorder="1" applyAlignment="1">
      <alignment vertical="center"/>
      <protection/>
    </xf>
    <xf numFmtId="0" fontId="8" fillId="0" borderId="10" xfId="79" applyFont="1" applyFill="1" applyBorder="1" applyAlignment="1">
      <alignment horizontal="center"/>
      <protection/>
    </xf>
    <xf numFmtId="4" fontId="8" fillId="0" borderId="10" xfId="79" applyNumberFormat="1" applyFont="1" applyFill="1" applyBorder="1" applyAlignment="1">
      <alignment horizontal="center" vertical="center"/>
      <protection/>
    </xf>
    <xf numFmtId="186" fontId="8" fillId="0" borderId="10" xfId="79" applyNumberFormat="1" applyFont="1" applyFill="1" applyBorder="1" applyAlignment="1" applyProtection="1">
      <alignment horizontal="right" vertical="center"/>
      <protection locked="0"/>
    </xf>
    <xf numFmtId="4" fontId="8" fillId="0" borderId="10" xfId="83" applyNumberFormat="1" applyFont="1" applyFill="1" applyBorder="1" applyAlignment="1" applyProtection="1">
      <alignment horizontal="right"/>
      <protection locked="0"/>
    </xf>
    <xf numFmtId="180" fontId="25" fillId="0" borderId="21" xfId="0" applyNumberFormat="1" applyFont="1" applyBorder="1" applyAlignment="1">
      <alignment/>
    </xf>
    <xf numFmtId="4" fontId="25" fillId="0" borderId="21" xfId="0" applyNumberFormat="1" applyFont="1" applyBorder="1" applyAlignment="1">
      <alignment/>
    </xf>
    <xf numFmtId="0" fontId="10" fillId="0" borderId="10" xfId="0" applyFont="1" applyFill="1" applyBorder="1" applyAlignment="1">
      <alignment wrapText="1"/>
    </xf>
    <xf numFmtId="0" fontId="10" fillId="0" borderId="10" xfId="0" applyFont="1" applyFill="1" applyBorder="1" applyAlignment="1">
      <alignment vertical="top" wrapText="1"/>
    </xf>
    <xf numFmtId="0" fontId="10" fillId="0" borderId="10" xfId="0" applyFont="1" applyBorder="1" applyAlignment="1">
      <alignment horizontal="center"/>
    </xf>
    <xf numFmtId="43" fontId="10" fillId="0" borderId="10" xfId="42" applyFont="1" applyBorder="1" applyAlignment="1">
      <alignment/>
    </xf>
    <xf numFmtId="4" fontId="10" fillId="0" borderId="10" xfId="0" applyNumberFormat="1" applyFont="1" applyBorder="1" applyAlignment="1">
      <alignment/>
    </xf>
    <xf numFmtId="4" fontId="10" fillId="0" borderId="10" xfId="42" applyNumberFormat="1" applyFont="1" applyBorder="1" applyAlignment="1">
      <alignment/>
    </xf>
    <xf numFmtId="4" fontId="8" fillId="0" borderId="10" xfId="44" applyNumberFormat="1" applyFont="1" applyBorder="1" applyAlignment="1">
      <alignment/>
    </xf>
    <xf numFmtId="182" fontId="8" fillId="0" borderId="10" xfId="44" applyNumberFormat="1" applyFont="1" applyBorder="1" applyAlignment="1">
      <alignment/>
    </xf>
    <xf numFmtId="43" fontId="8" fillId="0" borderId="10" xfId="44" applyNumberFormat="1" applyFont="1" applyBorder="1" applyAlignment="1">
      <alignment horizontal="right"/>
    </xf>
    <xf numFmtId="0" fontId="8" fillId="0" borderId="10" xfId="73" applyFont="1" applyBorder="1" applyAlignment="1">
      <alignment horizontal="justify" vertical="distributed"/>
      <protection/>
    </xf>
    <xf numFmtId="182" fontId="8" fillId="0" borderId="10" xfId="44" applyNumberFormat="1" applyFont="1" applyBorder="1" applyAlignment="1">
      <alignment horizontal="right"/>
    </xf>
    <xf numFmtId="43" fontId="8" fillId="0" borderId="10" xfId="45" applyFont="1" applyBorder="1" applyAlignment="1">
      <alignment horizontal="right"/>
    </xf>
    <xf numFmtId="0" fontId="8" fillId="0" borderId="22" xfId="73" applyFont="1" applyBorder="1" applyAlignment="1">
      <alignment horizontal="justify" vertical="distributed"/>
      <protection/>
    </xf>
    <xf numFmtId="43" fontId="10" fillId="0" borderId="10" xfId="44" applyNumberFormat="1" applyFont="1" applyBorder="1" applyAlignment="1">
      <alignment/>
    </xf>
    <xf numFmtId="0" fontId="10" fillId="0" borderId="22" xfId="73" applyFont="1" applyBorder="1" applyAlignment="1">
      <alignment horizontal="justify" vertical="distributed"/>
      <protection/>
    </xf>
    <xf numFmtId="43" fontId="10" fillId="0" borderId="10" xfId="45" applyFont="1" applyBorder="1" applyAlignment="1">
      <alignment horizontal="right"/>
    </xf>
    <xf numFmtId="0" fontId="10" fillId="0" borderId="22" xfId="73" applyFont="1" applyBorder="1" applyAlignment="1">
      <alignment horizontal="justify"/>
      <protection/>
    </xf>
    <xf numFmtId="0" fontId="10" fillId="0" borderId="10" xfId="0" applyFont="1" applyFill="1" applyBorder="1" applyAlignment="1">
      <alignment horizontal="justify"/>
    </xf>
    <xf numFmtId="4" fontId="8" fillId="0" borderId="10" xfId="42" applyNumberFormat="1" applyFont="1" applyFill="1" applyBorder="1" applyAlignment="1">
      <alignment/>
    </xf>
    <xf numFmtId="4" fontId="8" fillId="0" borderId="10" xfId="42" applyNumberFormat="1" applyFont="1" applyFill="1" applyBorder="1" applyAlignment="1">
      <alignment horizontal="right"/>
    </xf>
    <xf numFmtId="0" fontId="8" fillId="0" borderId="16" xfId="0" applyFont="1" applyFill="1" applyBorder="1" applyAlignment="1">
      <alignment horizontal="justify" vertical="distributed"/>
    </xf>
    <xf numFmtId="4" fontId="10" fillId="0" borderId="10" xfId="42" applyNumberFormat="1" applyFont="1" applyFill="1" applyBorder="1" applyAlignment="1">
      <alignment horizontal="right"/>
    </xf>
    <xf numFmtId="0" fontId="96" fillId="0" borderId="10" xfId="0" applyFont="1" applyFill="1" applyBorder="1" applyAlignment="1">
      <alignment horizontal="justify" vertical="distributed"/>
    </xf>
    <xf numFmtId="0" fontId="10" fillId="0" borderId="10" xfId="0" applyFont="1" applyFill="1" applyBorder="1" applyAlignment="1">
      <alignment vertical="distributed"/>
    </xf>
    <xf numFmtId="0" fontId="8" fillId="0" borderId="10" xfId="0" applyFont="1" applyFill="1" applyBorder="1" applyAlignment="1">
      <alignment vertical="distributed"/>
    </xf>
    <xf numFmtId="4" fontId="8" fillId="0" borderId="10" xfId="0" applyNumberFormat="1" applyFont="1" applyFill="1" applyBorder="1" applyAlignment="1">
      <alignment horizontal="right"/>
    </xf>
    <xf numFmtId="2" fontId="8" fillId="0" borderId="10" xfId="0" applyNumberFormat="1" applyFont="1" applyFill="1" applyBorder="1" applyAlignment="1">
      <alignment/>
    </xf>
    <xf numFmtId="4" fontId="8" fillId="0" borderId="10" xfId="0" applyNumberFormat="1" applyFont="1" applyBorder="1" applyAlignment="1">
      <alignment horizontal="right"/>
    </xf>
    <xf numFmtId="0" fontId="97" fillId="0" borderId="10" xfId="0" applyFont="1" applyFill="1" applyBorder="1" applyAlignment="1">
      <alignment horizontal="justify"/>
    </xf>
    <xf numFmtId="0" fontId="10"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39" fontId="8" fillId="0" borderId="10" xfId="0" applyNumberFormat="1" applyFont="1" applyBorder="1" applyAlignment="1">
      <alignment vertical="center"/>
    </xf>
    <xf numFmtId="2" fontId="8" fillId="0" borderId="10" xfId="0" applyNumberFormat="1" applyFont="1" applyBorder="1" applyAlignment="1">
      <alignment horizontal="right"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xf>
    <xf numFmtId="39" fontId="8" fillId="0" borderId="10" xfId="0" applyNumberFormat="1" applyFont="1" applyFill="1" applyBorder="1" applyAlignment="1">
      <alignment vertical="center"/>
    </xf>
    <xf numFmtId="2" fontId="8" fillId="0" borderId="10" xfId="0" applyNumberFormat="1" applyFont="1" applyFill="1" applyBorder="1" applyAlignment="1">
      <alignment horizontal="right" vertical="center"/>
    </xf>
    <xf numFmtId="0" fontId="87" fillId="0" borderId="10" xfId="0" applyFont="1" applyBorder="1" applyAlignment="1">
      <alignment horizontal="left" vertical="center"/>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center" wrapText="1"/>
    </xf>
    <xf numFmtId="4" fontId="8" fillId="0" borderId="10" xfId="0" applyNumberFormat="1" applyFont="1" applyBorder="1" applyAlignment="1">
      <alignment/>
    </xf>
    <xf numFmtId="0" fontId="8" fillId="0" borderId="10" xfId="0" applyNumberFormat="1" applyFont="1" applyFill="1" applyBorder="1" applyAlignment="1">
      <alignment/>
    </xf>
    <xf numFmtId="49" fontId="25" fillId="0" borderId="10" xfId="0" applyNumberFormat="1" applyFont="1" applyBorder="1" applyAlignment="1">
      <alignment wrapText="1"/>
    </xf>
    <xf numFmtId="49" fontId="25" fillId="0" borderId="10" xfId="0" applyNumberFormat="1" applyFont="1" applyBorder="1" applyAlignment="1">
      <alignment horizontal="center"/>
    </xf>
    <xf numFmtId="4" fontId="8" fillId="0" borderId="10" xfId="42" applyNumberFormat="1" applyFont="1" applyBorder="1" applyAlignment="1">
      <alignment/>
    </xf>
    <xf numFmtId="4" fontId="8" fillId="0" borderId="10" xfId="42" applyNumberFormat="1" applyFont="1" applyBorder="1" applyAlignment="1">
      <alignment horizontal="right"/>
    </xf>
    <xf numFmtId="4" fontId="10" fillId="0" borderId="10" xfId="42" applyNumberFormat="1" applyFont="1" applyBorder="1" applyAlignment="1">
      <alignment horizontal="right"/>
    </xf>
    <xf numFmtId="4" fontId="87" fillId="0" borderId="10" xfId="42" applyNumberFormat="1" applyFont="1" applyFill="1" applyBorder="1" applyAlignment="1">
      <alignment horizontal="right"/>
    </xf>
    <xf numFmtId="0" fontId="10" fillId="0" borderId="10" xfId="73" applyFont="1" applyFill="1" applyBorder="1">
      <alignment/>
      <protection/>
    </xf>
    <xf numFmtId="43" fontId="87" fillId="0" borderId="10" xfId="42" applyNumberFormat="1" applyFont="1" applyFill="1" applyBorder="1" applyAlignment="1">
      <alignment horizontal="center"/>
    </xf>
    <xf numFmtId="0" fontId="8" fillId="0" borderId="10" xfId="73" applyFont="1" applyFill="1" applyBorder="1" applyAlignment="1">
      <alignment horizontal="center" vertical="center"/>
      <protection/>
    </xf>
    <xf numFmtId="4" fontId="8" fillId="0" borderId="10" xfId="0" applyNumberFormat="1" applyFont="1" applyBorder="1" applyAlignment="1">
      <alignment vertical="center"/>
    </xf>
    <xf numFmtId="43" fontId="87" fillId="0" borderId="10" xfId="42" applyNumberFormat="1" applyFont="1" applyFill="1" applyBorder="1" applyAlignment="1">
      <alignment/>
    </xf>
    <xf numFmtId="4" fontId="8" fillId="0" borderId="10" xfId="0" applyNumberFormat="1" applyFont="1" applyBorder="1" applyAlignment="1">
      <alignment horizontal="right" vertical="center"/>
    </xf>
    <xf numFmtId="43" fontId="8" fillId="0" borderId="10" xfId="0" applyNumberFormat="1" applyFont="1" applyBorder="1" applyAlignment="1">
      <alignment vertical="center"/>
    </xf>
    <xf numFmtId="0" fontId="88" fillId="0" borderId="10" xfId="0" applyFont="1" applyBorder="1" applyAlignment="1">
      <alignment vertical="center" wrapText="1"/>
    </xf>
    <xf numFmtId="0" fontId="93" fillId="33" borderId="10" xfId="0" applyFont="1" applyFill="1" applyBorder="1" applyAlignment="1">
      <alignment vertical="center" wrapText="1"/>
    </xf>
    <xf numFmtId="0" fontId="93" fillId="33" borderId="10" xfId="0" applyFont="1" applyFill="1" applyBorder="1" applyAlignment="1">
      <alignment horizontal="center" vertical="center" wrapText="1"/>
    </xf>
    <xf numFmtId="4" fontId="93" fillId="33" borderId="10" xfId="0" applyNumberFormat="1" applyFont="1" applyFill="1" applyBorder="1" applyAlignment="1">
      <alignment horizontal="right" vertical="center" wrapText="1"/>
    </xf>
    <xf numFmtId="0" fontId="93" fillId="33" borderId="10" xfId="0" applyFont="1" applyFill="1" applyBorder="1" applyAlignment="1">
      <alignment horizontal="left" vertical="center" wrapText="1"/>
    </xf>
    <xf numFmtId="2" fontId="93" fillId="33" borderId="10" xfId="0" applyNumberFormat="1" applyFont="1" applyFill="1" applyBorder="1" applyAlignment="1">
      <alignment horizontal="right" vertical="center" wrapText="1"/>
    </xf>
    <xf numFmtId="0" fontId="8" fillId="0" borderId="10" xfId="0" applyFont="1" applyBorder="1" applyAlignment="1">
      <alignment vertical="center" wrapText="1"/>
    </xf>
    <xf numFmtId="0" fontId="10" fillId="0" borderId="10" xfId="0" applyNumberFormat="1" applyFont="1" applyFill="1" applyBorder="1" applyAlignment="1">
      <alignment horizontal="left" vertical="justify"/>
    </xf>
    <xf numFmtId="0" fontId="93" fillId="0" borderId="10" xfId="0" applyFont="1" applyBorder="1" applyAlignment="1">
      <alignment/>
    </xf>
    <xf numFmtId="43" fontId="93" fillId="33" borderId="10" xfId="0" applyNumberFormat="1" applyFont="1" applyFill="1" applyBorder="1" applyAlignment="1">
      <alignment vertical="center" wrapText="1"/>
    </xf>
    <xf numFmtId="10" fontId="93" fillId="33" borderId="10" xfId="0" applyNumberFormat="1" applyFont="1" applyFill="1" applyBorder="1" applyAlignment="1">
      <alignment horizontal="right" vertical="center" wrapText="1"/>
    </xf>
    <xf numFmtId="1" fontId="10" fillId="0" borderId="10" xfId="0" applyNumberFormat="1" applyFont="1" applyFill="1" applyBorder="1" applyAlignment="1">
      <alignment vertical="center" wrapText="1"/>
    </xf>
    <xf numFmtId="1"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justify" vertical="center" wrapText="1"/>
    </xf>
    <xf numFmtId="1" fontId="8" fillId="0" borderId="10" xfId="0" applyNumberFormat="1" applyFont="1" applyFill="1" applyBorder="1" applyAlignment="1">
      <alignment horizontal="center"/>
    </xf>
    <xf numFmtId="1" fontId="8" fillId="0" borderId="10" xfId="0" applyNumberFormat="1" applyFont="1" applyFill="1" applyBorder="1" applyAlignment="1">
      <alignment/>
    </xf>
    <xf numFmtId="180" fontId="8" fillId="0" borderId="10" xfId="0" applyNumberFormat="1" applyFont="1" applyFill="1" applyBorder="1" applyAlignment="1">
      <alignment/>
    </xf>
    <xf numFmtId="3" fontId="8" fillId="0" borderId="10" xfId="0" applyNumberFormat="1" applyFont="1" applyFill="1" applyBorder="1" applyAlignment="1">
      <alignment/>
    </xf>
    <xf numFmtId="3" fontId="8" fillId="0" borderId="10" xfId="0" applyNumberFormat="1" applyFont="1" applyFill="1" applyBorder="1" applyAlignment="1">
      <alignment horizontal="right"/>
    </xf>
    <xf numFmtId="0" fontId="10" fillId="0" borderId="10" xfId="0" applyFont="1" applyBorder="1" applyAlignment="1">
      <alignment horizontal="justify" vertical="distributed"/>
    </xf>
    <xf numFmtId="0" fontId="8" fillId="0" borderId="10" xfId="0" applyFont="1" applyBorder="1" applyAlignment="1">
      <alignment horizontal="justify" vertical="distributed" wrapText="1"/>
    </xf>
    <xf numFmtId="0" fontId="8" fillId="0" borderId="23" xfId="0" applyFont="1" applyBorder="1" applyAlignment="1">
      <alignment horizontal="center"/>
    </xf>
    <xf numFmtId="0" fontId="8" fillId="0" borderId="20" xfId="0" applyFont="1" applyFill="1" applyBorder="1" applyAlignment="1">
      <alignment/>
    </xf>
    <xf numFmtId="0" fontId="8" fillId="0" borderId="20" xfId="0" applyFont="1" applyBorder="1" applyAlignment="1">
      <alignment/>
    </xf>
    <xf numFmtId="39" fontId="8" fillId="0" borderId="10" xfId="42" applyNumberFormat="1" applyFont="1" applyBorder="1" applyAlignment="1">
      <alignment/>
    </xf>
    <xf numFmtId="4" fontId="8" fillId="0" borderId="10" xfId="75" applyNumberFormat="1" applyFont="1" applyFill="1" applyBorder="1">
      <alignment/>
      <protection/>
    </xf>
    <xf numFmtId="0" fontId="10" fillId="0" borderId="10" xfId="75" applyFont="1" applyFill="1" applyBorder="1" applyAlignment="1">
      <alignment horizontal="justify" vertical="distributed" wrapText="1"/>
      <protection/>
    </xf>
    <xf numFmtId="0" fontId="8" fillId="0" borderId="10" xfId="75" applyFont="1" applyFill="1" applyBorder="1" applyAlignment="1">
      <alignment horizontal="justify" vertical="distributed" wrapText="1"/>
      <protection/>
    </xf>
    <xf numFmtId="0" fontId="8" fillId="0" borderId="10" xfId="75" applyFont="1" applyFill="1" applyBorder="1" applyAlignment="1">
      <alignment horizontal="center" wrapText="1"/>
      <protection/>
    </xf>
    <xf numFmtId="43" fontId="8" fillId="0" borderId="10" xfId="62" applyFont="1" applyFill="1" applyBorder="1" applyAlignment="1">
      <alignment horizontal="center" wrapText="1"/>
    </xf>
    <xf numFmtId="43" fontId="8" fillId="0" borderId="10" xfId="60" applyNumberFormat="1" applyFont="1" applyBorder="1" applyAlignment="1">
      <alignment/>
    </xf>
    <xf numFmtId="43" fontId="8" fillId="0" borderId="24" xfId="60" applyNumberFormat="1" applyFont="1" applyBorder="1" applyAlignment="1">
      <alignment/>
    </xf>
    <xf numFmtId="49" fontId="26" fillId="0" borderId="10" xfId="0" applyNumberFormat="1" applyFont="1" applyBorder="1" applyAlignment="1">
      <alignment wrapText="1"/>
    </xf>
    <xf numFmtId="49" fontId="26" fillId="0" borderId="10" xfId="0" applyNumberFormat="1" applyFont="1" applyBorder="1" applyAlignment="1">
      <alignment/>
    </xf>
    <xf numFmtId="180" fontId="26" fillId="0" borderId="10" xfId="0" applyNumberFormat="1" applyFont="1" applyBorder="1" applyAlignment="1">
      <alignment/>
    </xf>
    <xf numFmtId="4" fontId="26" fillId="0" borderId="10" xfId="0" applyNumberFormat="1" applyFont="1" applyBorder="1" applyAlignment="1">
      <alignment/>
    </xf>
    <xf numFmtId="49" fontId="25" fillId="0" borderId="10" xfId="0" applyNumberFormat="1" applyFont="1" applyBorder="1" applyAlignment="1">
      <alignment/>
    </xf>
    <xf numFmtId="0" fontId="10" fillId="0" borderId="10" xfId="73" applyFont="1" applyBorder="1" applyAlignment="1">
      <alignment horizontal="justify" vertical="distributed"/>
      <protection/>
    </xf>
    <xf numFmtId="0" fontId="8" fillId="0" borderId="10" xfId="0" applyFont="1" applyFill="1" applyBorder="1" applyAlignment="1" applyProtection="1" quotePrefix="1">
      <alignment horizontal="left" vertical="center"/>
      <protection/>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left" vertical="center"/>
      <protection/>
    </xf>
    <xf numFmtId="186" fontId="8" fillId="0" borderId="10" xfId="0" applyNumberFormat="1" applyFont="1" applyFill="1" applyBorder="1" applyAlignment="1" applyProtection="1">
      <alignment horizontal="right" vertical="center"/>
      <protection/>
    </xf>
    <xf numFmtId="2" fontId="8" fillId="0" borderId="10" xfId="0" applyNumberFormat="1" applyFont="1" applyFill="1" applyBorder="1" applyAlignment="1" applyProtection="1">
      <alignment horizontal="right" vertical="center"/>
      <protection/>
    </xf>
    <xf numFmtId="0" fontId="8" fillId="0" borderId="10" xfId="73" applyFont="1" applyBorder="1" applyAlignment="1">
      <alignment horizontal="right"/>
      <protection/>
    </xf>
    <xf numFmtId="39" fontId="8" fillId="0" borderId="10" xfId="0" applyNumberFormat="1" applyFont="1" applyFill="1" applyBorder="1" applyAlignment="1" applyProtection="1">
      <alignment horizontal="center"/>
      <protection/>
    </xf>
    <xf numFmtId="39" fontId="8" fillId="0" borderId="10" xfId="0" applyNumberFormat="1" applyFont="1" applyFill="1" applyBorder="1" applyAlignment="1" applyProtection="1">
      <alignment/>
      <protection/>
    </xf>
    <xf numFmtId="0" fontId="8" fillId="0" borderId="10" xfId="0" applyFont="1" applyFill="1" applyBorder="1" applyAlignment="1" applyProtection="1">
      <alignment/>
      <protection/>
    </xf>
    <xf numFmtId="0" fontId="10" fillId="0" borderId="10" xfId="0" applyFont="1" applyFill="1" applyBorder="1" applyAlignment="1" applyProtection="1">
      <alignment horizontal="justify"/>
      <protection/>
    </xf>
    <xf numFmtId="39" fontId="8" fillId="0" borderId="10" xfId="0" applyNumberFormat="1" applyFont="1" applyFill="1" applyBorder="1" applyAlignment="1" applyProtection="1">
      <alignment horizontal="right"/>
      <protection/>
    </xf>
    <xf numFmtId="0" fontId="10" fillId="0" borderId="10" xfId="0" applyFont="1" applyFill="1" applyBorder="1" applyAlignment="1" applyProtection="1">
      <alignment horizontal="center"/>
      <protection/>
    </xf>
    <xf numFmtId="182" fontId="8" fillId="0" borderId="10" xfId="44" applyNumberFormat="1" applyFont="1" applyFill="1" applyBorder="1" applyAlignment="1">
      <alignment horizontal="right"/>
    </xf>
    <xf numFmtId="39" fontId="10" fillId="0" borderId="10" xfId="0" applyNumberFormat="1" applyFont="1" applyFill="1" applyBorder="1" applyAlignment="1" applyProtection="1">
      <alignment/>
      <protection/>
    </xf>
    <xf numFmtId="183" fontId="8" fillId="0" borderId="10" xfId="0" applyNumberFormat="1" applyFont="1" applyBorder="1" applyAlignment="1">
      <alignment/>
    </xf>
    <xf numFmtId="0" fontId="10" fillId="0" borderId="10" xfId="0" applyFont="1" applyBorder="1" applyAlignment="1">
      <alignment horizontal="justify"/>
    </xf>
    <xf numFmtId="0" fontId="0" fillId="0" borderId="0" xfId="73">
      <alignment/>
      <protection/>
    </xf>
    <xf numFmtId="184" fontId="0" fillId="0" borderId="0" xfId="73" applyNumberFormat="1">
      <alignment/>
      <protection/>
    </xf>
    <xf numFmtId="0" fontId="7" fillId="0" borderId="10" xfId="73" applyFont="1" applyFill="1" applyBorder="1" applyAlignment="1">
      <alignment horizontal="justify" vertical="distributed"/>
      <protection/>
    </xf>
    <xf numFmtId="0" fontId="7" fillId="0" borderId="10" xfId="73" applyFont="1" applyFill="1" applyBorder="1" applyAlignment="1">
      <alignment horizontal="center"/>
      <protection/>
    </xf>
    <xf numFmtId="4" fontId="7" fillId="0" borderId="10" xfId="63" applyNumberFormat="1" applyFont="1" applyFill="1" applyBorder="1" applyAlignment="1">
      <alignment/>
    </xf>
    <xf numFmtId="0" fontId="7" fillId="0" borderId="10" xfId="73" applyFont="1" applyFill="1" applyBorder="1">
      <alignment/>
      <protection/>
    </xf>
    <xf numFmtId="4" fontId="7" fillId="0" borderId="10" xfId="63" applyNumberFormat="1" applyFont="1" applyFill="1" applyBorder="1" applyAlignment="1">
      <alignment horizontal="right"/>
    </xf>
    <xf numFmtId="4" fontId="7" fillId="0" borderId="22" xfId="63" applyNumberFormat="1" applyFont="1" applyFill="1" applyBorder="1" applyAlignment="1">
      <alignment horizontal="right"/>
    </xf>
    <xf numFmtId="0" fontId="0" fillId="0" borderId="10" xfId="73" applyBorder="1">
      <alignment/>
      <protection/>
    </xf>
    <xf numFmtId="0" fontId="7" fillId="0" borderId="10" xfId="73" applyFont="1" applyBorder="1" applyAlignment="1">
      <alignment horizontal="justify" vertical="distributed"/>
      <protection/>
    </xf>
    <xf numFmtId="0" fontId="7" fillId="0" borderId="10" xfId="73" applyFont="1" applyBorder="1" applyAlignment="1">
      <alignment horizontal="center"/>
      <protection/>
    </xf>
    <xf numFmtId="4" fontId="0" fillId="0" borderId="10" xfId="63" applyNumberFormat="1" applyFont="1" applyBorder="1" applyAlignment="1">
      <alignment/>
    </xf>
    <xf numFmtId="0" fontId="7" fillId="0" borderId="10" xfId="73" applyFont="1" applyBorder="1">
      <alignment/>
      <protection/>
    </xf>
    <xf numFmtId="4" fontId="6" fillId="0" borderId="10" xfId="63" applyNumberFormat="1" applyFont="1" applyFill="1" applyBorder="1" applyAlignment="1">
      <alignment horizontal="right"/>
    </xf>
    <xf numFmtId="4" fontId="7" fillId="0" borderId="10" xfId="63" applyNumberFormat="1" applyFont="1" applyBorder="1" applyAlignment="1">
      <alignment/>
    </xf>
    <xf numFmtId="0" fontId="8" fillId="0" borderId="10" xfId="73" applyFont="1" applyFill="1" applyBorder="1">
      <alignment/>
      <protection/>
    </xf>
    <xf numFmtId="4" fontId="8" fillId="0" borderId="10" xfId="63" applyNumberFormat="1" applyFont="1" applyFill="1" applyBorder="1" applyAlignment="1">
      <alignment horizontal="right"/>
    </xf>
    <xf numFmtId="49" fontId="15" fillId="0" borderId="10" xfId="73" applyNumberFormat="1" applyFont="1" applyBorder="1" applyAlignment="1">
      <alignment wrapText="1"/>
      <protection/>
    </xf>
    <xf numFmtId="49" fontId="15" fillId="0" borderId="10" xfId="73" applyNumberFormat="1" applyFont="1" applyBorder="1" applyAlignment="1">
      <alignment horizontal="center"/>
      <protection/>
    </xf>
    <xf numFmtId="4" fontId="15" fillId="0" borderId="10" xfId="73" applyNumberFormat="1" applyFont="1" applyBorder="1" applyAlignment="1">
      <alignment/>
      <protection/>
    </xf>
    <xf numFmtId="4" fontId="15" fillId="0" borderId="10" xfId="73" applyNumberFormat="1" applyFont="1" applyBorder="1" applyAlignment="1">
      <alignment horizontal="right"/>
      <protection/>
    </xf>
    <xf numFmtId="0" fontId="6" fillId="0" borderId="10" xfId="73" applyFont="1" applyBorder="1">
      <alignment/>
      <protection/>
    </xf>
    <xf numFmtId="4" fontId="7" fillId="0" borderId="10" xfId="63" applyNumberFormat="1" applyFont="1" applyBorder="1" applyAlignment="1">
      <alignment horizontal="right"/>
    </xf>
    <xf numFmtId="4" fontId="7" fillId="0" borderId="10" xfId="73" applyNumberFormat="1" applyFont="1" applyBorder="1" applyAlignment="1">
      <alignment/>
      <protection/>
    </xf>
    <xf numFmtId="0" fontId="28" fillId="0" borderId="10" xfId="73" applyFont="1" applyFill="1" applyBorder="1">
      <alignment/>
      <protection/>
    </xf>
    <xf numFmtId="4" fontId="7" fillId="0" borderId="10" xfId="73" applyNumberFormat="1" applyFont="1" applyFill="1" applyBorder="1" applyAlignment="1">
      <alignment horizontal="right"/>
      <protection/>
    </xf>
    <xf numFmtId="4" fontId="7" fillId="0" borderId="10" xfId="63" applyNumberFormat="1" applyFont="1" applyFill="1" applyBorder="1" applyAlignment="1" applyProtection="1">
      <alignment horizontal="right"/>
      <protection/>
    </xf>
    <xf numFmtId="4" fontId="7" fillId="0" borderId="10" xfId="73" applyNumberFormat="1" applyFont="1" applyBorder="1">
      <alignment/>
      <protection/>
    </xf>
    <xf numFmtId="4" fontId="6" fillId="0" borderId="10" xfId="63" applyNumberFormat="1" applyFont="1" applyBorder="1" applyAlignment="1">
      <alignment horizontal="right"/>
    </xf>
    <xf numFmtId="0" fontId="0" fillId="0" borderId="0" xfId="73" applyAlignment="1">
      <alignment horizontal="justify" vertical="distributed"/>
      <protection/>
    </xf>
    <xf numFmtId="0" fontId="8" fillId="0" borderId="22" xfId="73" applyFont="1" applyFill="1" applyBorder="1" applyAlignment="1">
      <alignment horizontal="center"/>
      <protection/>
    </xf>
    <xf numFmtId="4" fontId="8" fillId="0" borderId="22" xfId="63" applyNumberFormat="1" applyFont="1" applyFill="1" applyBorder="1" applyAlignment="1">
      <alignment/>
    </xf>
    <xf numFmtId="0" fontId="8" fillId="0" borderId="22" xfId="73" applyFont="1" applyFill="1" applyBorder="1">
      <alignment/>
      <protection/>
    </xf>
    <xf numFmtId="4" fontId="8" fillId="0" borderId="22" xfId="63" applyNumberFormat="1" applyFont="1" applyFill="1" applyBorder="1" applyAlignment="1">
      <alignment horizontal="right"/>
    </xf>
    <xf numFmtId="43" fontId="7" fillId="0" borderId="10" xfId="45" applyFont="1" applyFill="1" applyBorder="1" applyAlignment="1">
      <alignment horizontal="left" vertical="justify"/>
    </xf>
    <xf numFmtId="4" fontId="7" fillId="0" borderId="10" xfId="73" applyNumberFormat="1" applyFont="1" applyFill="1" applyBorder="1" applyAlignment="1">
      <alignment/>
      <protection/>
    </xf>
    <xf numFmtId="43" fontId="7" fillId="0" borderId="10" xfId="45" applyFont="1" applyFill="1" applyBorder="1" applyAlignment="1">
      <alignment horizontal="center" vertical="center"/>
    </xf>
    <xf numFmtId="4" fontId="7" fillId="0" borderId="10" xfId="45" applyNumberFormat="1" applyFont="1" applyFill="1" applyBorder="1" applyAlignment="1">
      <alignment vertical="center"/>
    </xf>
    <xf numFmtId="43" fontId="7" fillId="0" borderId="10" xfId="45" applyFont="1" applyFill="1" applyBorder="1" applyAlignment="1" applyProtection="1">
      <alignment vertical="center"/>
      <protection/>
    </xf>
    <xf numFmtId="43" fontId="7" fillId="0" borderId="10" xfId="45" applyFont="1" applyFill="1" applyBorder="1" applyAlignment="1" applyProtection="1">
      <alignment horizontal="center" vertical="center"/>
      <protection/>
    </xf>
    <xf numFmtId="4" fontId="7" fillId="0" borderId="10" xfId="45" applyNumberFormat="1" applyFont="1" applyFill="1" applyBorder="1" applyAlignment="1" applyProtection="1">
      <alignment vertical="center"/>
      <protection/>
    </xf>
    <xf numFmtId="4" fontId="7" fillId="0" borderId="10" xfId="45" applyNumberFormat="1" applyFont="1" applyFill="1" applyBorder="1" applyAlignment="1">
      <alignment horizontal="right" vertical="center"/>
    </xf>
    <xf numFmtId="4" fontId="7" fillId="0" borderId="10" xfId="45" applyNumberFormat="1" applyFont="1" applyFill="1" applyBorder="1" applyAlignment="1" applyProtection="1">
      <alignment horizontal="right" vertical="center"/>
      <protection/>
    </xf>
    <xf numFmtId="43" fontId="7" fillId="0" borderId="10" xfId="45" applyFont="1" applyFill="1" applyBorder="1" applyAlignment="1">
      <alignment horizontal="left"/>
    </xf>
    <xf numFmtId="43" fontId="7" fillId="0" borderId="10" xfId="45" applyFont="1" applyFill="1" applyBorder="1" applyAlignment="1">
      <alignment horizontal="center"/>
    </xf>
    <xf numFmtId="4" fontId="7" fillId="0" borderId="10" xfId="45" applyNumberFormat="1" applyFont="1" applyFill="1" applyBorder="1" applyAlignment="1" applyProtection="1">
      <alignment/>
      <protection/>
    </xf>
    <xf numFmtId="4" fontId="7" fillId="0" borderId="10" xfId="45" applyNumberFormat="1" applyFont="1" applyFill="1" applyBorder="1" applyAlignment="1">
      <alignment horizontal="right"/>
    </xf>
    <xf numFmtId="4" fontId="7" fillId="0" borderId="10" xfId="45" applyNumberFormat="1" applyFont="1" applyFill="1" applyBorder="1" applyAlignment="1" applyProtection="1">
      <alignment horizontal="right"/>
      <protection/>
    </xf>
    <xf numFmtId="0" fontId="8" fillId="0" borderId="16" xfId="73" applyFont="1" applyFill="1" applyBorder="1">
      <alignment/>
      <protection/>
    </xf>
    <xf numFmtId="0" fontId="8" fillId="0" borderId="16" xfId="73" applyFont="1" applyFill="1" applyBorder="1" applyAlignment="1">
      <alignment horizontal="justify" vertical="distributed"/>
      <protection/>
    </xf>
    <xf numFmtId="0" fontId="8" fillId="0" borderId="16" xfId="73" applyFont="1" applyFill="1" applyBorder="1" applyAlignment="1">
      <alignment horizontal="center"/>
      <protection/>
    </xf>
    <xf numFmtId="4" fontId="8" fillId="0" borderId="16" xfId="63" applyNumberFormat="1" applyFont="1" applyFill="1" applyBorder="1" applyAlignment="1">
      <alignment/>
    </xf>
    <xf numFmtId="4" fontId="8" fillId="0" borderId="16" xfId="63" applyNumberFormat="1" applyFont="1" applyFill="1" applyBorder="1" applyAlignment="1">
      <alignment horizontal="right"/>
    </xf>
    <xf numFmtId="4" fontId="10" fillId="0" borderId="16" xfId="63" applyNumberFormat="1" applyFont="1" applyFill="1" applyBorder="1" applyAlignment="1">
      <alignment horizontal="right"/>
    </xf>
    <xf numFmtId="4" fontId="7" fillId="0" borderId="10" xfId="63" applyNumberFormat="1" applyFont="1" applyFill="1" applyBorder="1" applyAlignment="1" applyProtection="1">
      <alignment/>
      <protection/>
    </xf>
    <xf numFmtId="49" fontId="7" fillId="0" borderId="10" xfId="63" applyNumberFormat="1" applyFont="1" applyFill="1" applyBorder="1" applyAlignment="1">
      <alignment vertical="justify"/>
    </xf>
    <xf numFmtId="4" fontId="7" fillId="0" borderId="10" xfId="63" applyNumberFormat="1" applyFont="1" applyFill="1" applyBorder="1" applyAlignment="1">
      <alignment horizontal="center"/>
    </xf>
    <xf numFmtId="0" fontId="8" fillId="0" borderId="10" xfId="73" applyFont="1" applyFill="1" applyBorder="1" applyAlignment="1">
      <alignment horizontal="justify" vertical="distributed"/>
      <protection/>
    </xf>
    <xf numFmtId="0" fontId="8" fillId="0" borderId="10" xfId="73" applyFont="1" applyFill="1" applyBorder="1" applyAlignment="1">
      <alignment horizontal="center"/>
      <protection/>
    </xf>
    <xf numFmtId="4" fontId="8" fillId="0" borderId="10" xfId="63" applyNumberFormat="1" applyFont="1" applyFill="1" applyBorder="1" applyAlignment="1">
      <alignment/>
    </xf>
    <xf numFmtId="4" fontId="7" fillId="0" borderId="22" xfId="63" applyNumberFormat="1" applyFont="1" applyFill="1" applyBorder="1" applyAlignment="1" applyProtection="1">
      <alignment/>
      <protection/>
    </xf>
    <xf numFmtId="49" fontId="7" fillId="0" borderId="10" xfId="45" applyNumberFormat="1" applyFont="1" applyFill="1" applyBorder="1" applyAlignment="1">
      <alignment horizontal="left" vertical="justify"/>
    </xf>
    <xf numFmtId="4" fontId="7" fillId="0" borderId="10" xfId="45" applyNumberFormat="1" applyFont="1" applyFill="1" applyBorder="1" applyAlignment="1">
      <alignment horizontal="center"/>
    </xf>
    <xf numFmtId="49" fontId="27" fillId="0" borderId="10" xfId="63" applyNumberFormat="1" applyFont="1" applyFill="1" applyBorder="1" applyAlignment="1">
      <alignment horizontal="left" vertical="top"/>
    </xf>
    <xf numFmtId="4" fontId="8" fillId="0" borderId="10" xfId="63" applyNumberFormat="1" applyFont="1" applyFill="1" applyBorder="1" applyAlignment="1" applyProtection="1">
      <alignment/>
      <protection/>
    </xf>
    <xf numFmtId="4" fontId="8" fillId="0" borderId="10" xfId="63" applyNumberFormat="1" applyFont="1" applyFill="1" applyBorder="1" applyAlignment="1">
      <alignment horizontal="center"/>
    </xf>
    <xf numFmtId="4" fontId="8" fillId="0" borderId="10" xfId="63" applyNumberFormat="1" applyFont="1" applyFill="1" applyBorder="1" applyAlignment="1" applyProtection="1">
      <alignment/>
      <protection/>
    </xf>
    <xf numFmtId="49" fontId="8" fillId="0" borderId="10" xfId="63" applyNumberFormat="1" applyFont="1" applyFill="1" applyBorder="1" applyAlignment="1">
      <alignment horizontal="left" vertical="justify"/>
    </xf>
    <xf numFmtId="4" fontId="8" fillId="0" borderId="10" xfId="63" applyNumberFormat="1" applyFont="1" applyFill="1" applyBorder="1" applyAlignment="1" applyProtection="1">
      <alignment horizontal="right"/>
      <protection/>
    </xf>
    <xf numFmtId="49" fontId="8" fillId="0" borderId="10" xfId="63" applyNumberFormat="1" applyFont="1" applyFill="1" applyBorder="1" applyAlignment="1" quotePrefix="1">
      <alignment horizontal="left" vertical="justify"/>
    </xf>
    <xf numFmtId="49" fontId="7" fillId="0" borderId="10" xfId="63" applyNumberFormat="1" applyFont="1" applyFill="1" applyBorder="1" applyAlignment="1">
      <alignment horizontal="left" vertical="justify"/>
    </xf>
    <xf numFmtId="4" fontId="10" fillId="0" borderId="10" xfId="63" applyNumberFormat="1" applyFont="1" applyFill="1" applyBorder="1" applyAlignment="1" applyProtection="1">
      <alignment horizontal="right"/>
      <protection/>
    </xf>
    <xf numFmtId="4" fontId="6" fillId="0" borderId="10" xfId="63" applyNumberFormat="1" applyFont="1" applyFill="1" applyBorder="1" applyAlignment="1" applyProtection="1">
      <alignment horizontal="right"/>
      <protection/>
    </xf>
    <xf numFmtId="183" fontId="7" fillId="0" borderId="10" xfId="73" applyNumberFormat="1" applyFont="1" applyBorder="1" applyAlignment="1">
      <alignment horizontal="center"/>
      <protection/>
    </xf>
    <xf numFmtId="0" fontId="7" fillId="0" borderId="10" xfId="73" applyFont="1" applyBorder="1" applyAlignment="1">
      <alignment horizontal="right"/>
      <protection/>
    </xf>
    <xf numFmtId="183" fontId="7" fillId="0" borderId="10" xfId="73" applyNumberFormat="1" applyFont="1" applyBorder="1" applyAlignment="1">
      <alignment horizontal="right"/>
      <protection/>
    </xf>
    <xf numFmtId="4" fontId="8" fillId="0" borderId="10" xfId="63" applyNumberFormat="1" applyFont="1" applyFill="1" applyBorder="1" applyAlignment="1" applyProtection="1">
      <alignment horizontal="center"/>
      <protection/>
    </xf>
    <xf numFmtId="4" fontId="8" fillId="0" borderId="10" xfId="73" applyNumberFormat="1" applyFont="1" applyFill="1" applyBorder="1">
      <alignment/>
      <protection/>
    </xf>
    <xf numFmtId="4" fontId="10" fillId="0" borderId="10" xfId="63" applyNumberFormat="1" applyFont="1" applyFill="1" applyBorder="1" applyAlignment="1">
      <alignment horizontal="right"/>
    </xf>
    <xf numFmtId="4" fontId="7" fillId="0" borderId="0" xfId="63" applyNumberFormat="1" applyFont="1" applyFill="1" applyBorder="1" applyAlignment="1" applyProtection="1">
      <alignment horizontal="center"/>
      <protection/>
    </xf>
    <xf numFmtId="4" fontId="7" fillId="0" borderId="10" xfId="63" applyNumberFormat="1" applyFont="1" applyFill="1" applyBorder="1" applyAlignment="1" applyProtection="1">
      <alignment/>
      <protection/>
    </xf>
    <xf numFmtId="43" fontId="7" fillId="0" borderId="10" xfId="63" applyFont="1" applyFill="1" applyBorder="1" applyAlignment="1">
      <alignment horizontal="center"/>
    </xf>
    <xf numFmtId="4" fontId="7" fillId="0" borderId="10" xfId="63" applyNumberFormat="1" applyFont="1" applyFill="1" applyBorder="1" applyAlignment="1" applyProtection="1">
      <alignment horizontal="center"/>
      <protection/>
    </xf>
    <xf numFmtId="43" fontId="7" fillId="0" borderId="10" xfId="63" applyFont="1" applyFill="1" applyBorder="1" applyAlignment="1">
      <alignment/>
    </xf>
    <xf numFmtId="49" fontId="29" fillId="0" borderId="10" xfId="63" applyNumberFormat="1" applyFont="1" applyFill="1" applyBorder="1" applyAlignment="1">
      <alignment horizontal="left" vertical="top"/>
    </xf>
    <xf numFmtId="0" fontId="0" fillId="0" borderId="10" xfId="73" applyFill="1" applyBorder="1">
      <alignment/>
      <protection/>
    </xf>
    <xf numFmtId="49" fontId="7" fillId="0" borderId="10" xfId="63" applyNumberFormat="1" applyFont="1" applyFill="1" applyBorder="1" applyAlignment="1" quotePrefix="1">
      <alignment/>
    </xf>
    <xf numFmtId="49" fontId="7" fillId="0" borderId="10" xfId="63" applyNumberFormat="1" applyFont="1" applyFill="1" applyBorder="1" applyAlignment="1">
      <alignment horizontal="left"/>
    </xf>
    <xf numFmtId="171" fontId="7" fillId="0" borderId="10" xfId="63" applyNumberFormat="1" applyFont="1" applyFill="1" applyBorder="1" applyAlignment="1" quotePrefix="1">
      <alignment horizontal="center"/>
    </xf>
    <xf numFmtId="43" fontId="7" fillId="0" borderId="10" xfId="63" applyFont="1" applyFill="1" applyBorder="1" applyAlignment="1" applyProtection="1">
      <alignment horizontal="center"/>
      <protection/>
    </xf>
    <xf numFmtId="49" fontId="7" fillId="0" borderId="10" xfId="63" applyNumberFormat="1" applyFont="1" applyFill="1" applyBorder="1" applyAlignment="1" quotePrefix="1">
      <alignment horizontal="left"/>
    </xf>
    <xf numFmtId="43" fontId="7" fillId="0" borderId="10" xfId="63" applyFont="1" applyFill="1" applyBorder="1" applyAlignment="1" quotePrefix="1">
      <alignment horizontal="center"/>
    </xf>
    <xf numFmtId="0" fontId="8" fillId="0" borderId="0" xfId="73" applyFont="1">
      <alignment/>
      <protection/>
    </xf>
    <xf numFmtId="171" fontId="7" fillId="0" borderId="10" xfId="45" applyNumberFormat="1" applyFont="1" applyFill="1" applyBorder="1" applyAlignment="1" applyProtection="1">
      <alignment horizontal="center"/>
      <protection/>
    </xf>
    <xf numFmtId="4" fontId="7" fillId="0" borderId="10" xfId="45" applyNumberFormat="1" applyFont="1" applyFill="1" applyBorder="1" applyAlignment="1">
      <alignment/>
    </xf>
    <xf numFmtId="171" fontId="7" fillId="0" borderId="10" xfId="45" applyNumberFormat="1" applyFont="1" applyFill="1" applyBorder="1" applyAlignment="1" applyProtection="1">
      <alignment/>
      <protection/>
    </xf>
    <xf numFmtId="171" fontId="7" fillId="0" borderId="10" xfId="45" applyNumberFormat="1" applyFont="1" applyFill="1" applyBorder="1" applyAlignment="1">
      <alignment horizontal="left"/>
    </xf>
    <xf numFmtId="171" fontId="7" fillId="0" borderId="10" xfId="45" applyNumberFormat="1" applyFont="1" applyFill="1" applyBorder="1" applyAlignment="1">
      <alignment horizontal="center"/>
    </xf>
    <xf numFmtId="1" fontId="98" fillId="0" borderId="10" xfId="73" applyNumberFormat="1" applyFont="1" applyFill="1" applyBorder="1">
      <alignment/>
      <protection/>
    </xf>
    <xf numFmtId="4" fontId="7" fillId="0" borderId="0" xfId="63" applyNumberFormat="1" applyFont="1" applyAlignment="1">
      <alignment/>
    </xf>
    <xf numFmtId="4" fontId="0" fillId="0" borderId="0" xfId="63" applyNumberFormat="1" applyFont="1" applyAlignment="1">
      <alignment/>
    </xf>
    <xf numFmtId="4" fontId="6" fillId="0" borderId="10" xfId="45" applyNumberFormat="1" applyFont="1" applyFill="1" applyBorder="1" applyAlignment="1">
      <alignment horizontal="right"/>
    </xf>
    <xf numFmtId="49" fontId="30" fillId="0" borderId="10" xfId="73" applyNumberFormat="1" applyFont="1" applyBorder="1" applyAlignment="1">
      <alignment wrapText="1"/>
      <protection/>
    </xf>
    <xf numFmtId="49" fontId="30" fillId="0" borderId="10" xfId="73" applyNumberFormat="1" applyFont="1" applyBorder="1" applyAlignment="1">
      <alignment horizontal="center"/>
      <protection/>
    </xf>
    <xf numFmtId="4" fontId="30" fillId="0" borderId="10" xfId="73" applyNumberFormat="1" applyFont="1" applyBorder="1" applyAlignment="1">
      <alignment/>
      <protection/>
    </xf>
    <xf numFmtId="4" fontId="6" fillId="0" borderId="10" xfId="73" applyNumberFormat="1" applyFont="1" applyBorder="1">
      <alignment/>
      <protection/>
    </xf>
    <xf numFmtId="4" fontId="31" fillId="0" borderId="0" xfId="73" applyNumberFormat="1" applyFont="1">
      <alignment/>
      <protection/>
    </xf>
    <xf numFmtId="4" fontId="6" fillId="0" borderId="10" xfId="45" applyNumberFormat="1" applyFont="1" applyFill="1" applyBorder="1" applyAlignment="1" applyProtection="1">
      <alignment horizontal="right"/>
      <protection/>
    </xf>
    <xf numFmtId="0" fontId="7" fillId="0" borderId="10" xfId="73" applyFont="1" applyBorder="1" applyAlignment="1">
      <alignment wrapText="1"/>
      <protection/>
    </xf>
    <xf numFmtId="4" fontId="95" fillId="0" borderId="10" xfId="73" applyNumberFormat="1" applyFont="1" applyBorder="1" applyAlignment="1">
      <alignment/>
      <protection/>
    </xf>
    <xf numFmtId="0" fontId="7" fillId="0" borderId="10" xfId="73" applyFont="1" applyBorder="1" applyAlignment="1">
      <alignment/>
      <protection/>
    </xf>
    <xf numFmtId="4" fontId="6" fillId="0" borderId="10" xfId="63" applyNumberFormat="1" applyFont="1" applyBorder="1" applyAlignment="1">
      <alignment/>
    </xf>
    <xf numFmtId="0" fontId="0" fillId="0" borderId="0" xfId="73" applyAlignment="1">
      <alignment/>
      <protection/>
    </xf>
    <xf numFmtId="184" fontId="0" fillId="0" borderId="0" xfId="73" applyNumberFormat="1" applyAlignment="1">
      <alignment/>
      <protection/>
    </xf>
    <xf numFmtId="43" fontId="15" fillId="0" borderId="10" xfId="63" applyFont="1" applyBorder="1" applyAlignment="1">
      <alignment horizontal="center"/>
    </xf>
    <xf numFmtId="2" fontId="7" fillId="0" borderId="10" xfId="69" applyNumberFormat="1" applyFont="1" applyBorder="1" applyAlignment="1">
      <alignment/>
    </xf>
    <xf numFmtId="4" fontId="7" fillId="0" borderId="10" xfId="69" applyNumberFormat="1" applyFont="1" applyBorder="1" applyAlignment="1">
      <alignment/>
    </xf>
    <xf numFmtId="4" fontId="15" fillId="0" borderId="10" xfId="63" applyNumberFormat="1" applyFont="1" applyBorder="1" applyAlignment="1">
      <alignment horizontal="right"/>
    </xf>
    <xf numFmtId="4" fontId="7" fillId="0" borderId="10" xfId="69" applyNumberFormat="1" applyFont="1" applyBorder="1" applyAlignment="1">
      <alignment horizontal="right"/>
    </xf>
    <xf numFmtId="4" fontId="0" fillId="0" borderId="10" xfId="63" applyNumberFormat="1" applyFont="1" applyBorder="1" applyAlignment="1">
      <alignment horizontal="right"/>
    </xf>
    <xf numFmtId="0" fontId="0" fillId="0" borderId="10" xfId="73" applyBorder="1" applyAlignment="1">
      <alignment horizontal="center"/>
      <protection/>
    </xf>
    <xf numFmtId="0" fontId="0" fillId="0" borderId="0" xfId="73" applyAlignment="1">
      <alignment horizontal="center"/>
      <protection/>
    </xf>
    <xf numFmtId="4" fontId="0" fillId="0" borderId="0" xfId="63" applyNumberFormat="1" applyFont="1" applyAlignment="1">
      <alignment/>
    </xf>
    <xf numFmtId="4" fontId="0" fillId="0" borderId="0" xfId="63" applyNumberFormat="1" applyFont="1" applyAlignment="1">
      <alignment horizontal="right"/>
    </xf>
    <xf numFmtId="0" fontId="90" fillId="0" borderId="0" xfId="0" applyFont="1" applyBorder="1" applyAlignment="1">
      <alignment horizontal="center" wrapText="1"/>
    </xf>
    <xf numFmtId="43" fontId="8" fillId="0" borderId="10" xfId="45" applyFont="1" applyFill="1" applyBorder="1" applyAlignment="1">
      <alignment horizontal="left"/>
    </xf>
    <xf numFmtId="43" fontId="8" fillId="0" borderId="10" xfId="45" applyFont="1" applyFill="1" applyBorder="1" applyAlignment="1">
      <alignment horizontal="center"/>
    </xf>
    <xf numFmtId="4" fontId="8" fillId="0" borderId="10" xfId="45" applyNumberFormat="1" applyFont="1" applyFill="1" applyBorder="1" applyAlignment="1" applyProtection="1">
      <alignment/>
      <protection/>
    </xf>
    <xf numFmtId="4" fontId="8" fillId="0" borderId="10" xfId="45" applyNumberFormat="1" applyFont="1" applyFill="1" applyBorder="1" applyAlignment="1">
      <alignment horizontal="right"/>
    </xf>
    <xf numFmtId="4" fontId="8" fillId="0" borderId="10" xfId="45" applyNumberFormat="1" applyFont="1" applyFill="1" applyBorder="1" applyAlignment="1" applyProtection="1">
      <alignment horizontal="right"/>
      <protection/>
    </xf>
    <xf numFmtId="0" fontId="8" fillId="0" borderId="25" xfId="73" applyFont="1" applyFill="1" applyBorder="1">
      <alignment/>
      <protection/>
    </xf>
    <xf numFmtId="0" fontId="8" fillId="0" borderId="26" xfId="73" applyFont="1" applyFill="1" applyBorder="1" applyAlignment="1">
      <alignment horizontal="center"/>
      <protection/>
    </xf>
    <xf numFmtId="4" fontId="8" fillId="0" borderId="26" xfId="63" applyNumberFormat="1" applyFont="1" applyFill="1" applyBorder="1" applyAlignment="1">
      <alignment/>
    </xf>
    <xf numFmtId="0" fontId="8" fillId="0" borderId="26" xfId="73" applyFont="1" applyFill="1" applyBorder="1">
      <alignment/>
      <protection/>
    </xf>
    <xf numFmtId="4" fontId="8" fillId="0" borderId="26" xfId="63" applyNumberFormat="1" applyFont="1" applyFill="1" applyBorder="1" applyAlignment="1">
      <alignment horizontal="right"/>
    </xf>
    <xf numFmtId="4" fontId="10" fillId="0" borderId="26" xfId="63" applyNumberFormat="1" applyFont="1" applyFill="1" applyBorder="1" applyAlignment="1">
      <alignment horizontal="right"/>
    </xf>
    <xf numFmtId="0" fontId="8" fillId="0" borderId="10" xfId="0" applyNumberFormat="1" applyFont="1" applyFill="1" applyBorder="1" applyAlignment="1">
      <alignment horizontal="left" vertical="justify"/>
    </xf>
    <xf numFmtId="4" fontId="10" fillId="0" borderId="0" xfId="63" applyNumberFormat="1" applyFont="1" applyFill="1" applyBorder="1" applyAlignment="1">
      <alignment horizontal="right"/>
    </xf>
    <xf numFmtId="0" fontId="8" fillId="0" borderId="14" xfId="0" applyNumberFormat="1" applyFont="1" applyFill="1" applyBorder="1" applyAlignment="1">
      <alignment horizontal="left" vertical="justify" wrapText="1"/>
    </xf>
    <xf numFmtId="49" fontId="6" fillId="0" borderId="23" xfId="63" applyNumberFormat="1" applyFont="1" applyFill="1" applyBorder="1" applyAlignment="1">
      <alignment vertical="justify"/>
    </xf>
    <xf numFmtId="49" fontId="6" fillId="0" borderId="20" xfId="63" applyNumberFormat="1" applyFont="1" applyFill="1" applyBorder="1" applyAlignment="1">
      <alignment vertical="justify"/>
    </xf>
    <xf numFmtId="0" fontId="7" fillId="0" borderId="22" xfId="73" applyFont="1" applyFill="1" applyBorder="1" applyAlignment="1">
      <alignment horizontal="justify" vertical="distributed"/>
      <protection/>
    </xf>
    <xf numFmtId="49" fontId="7" fillId="0" borderId="16" xfId="63" applyNumberFormat="1" applyFont="1" applyFill="1" applyBorder="1" applyAlignment="1">
      <alignment vertical="justify"/>
    </xf>
    <xf numFmtId="0" fontId="32" fillId="0" borderId="10" xfId="0" applyNumberFormat="1" applyFont="1" applyFill="1" applyBorder="1" applyAlignment="1">
      <alignment horizontal="left" vertical="justify" wrapText="1"/>
    </xf>
    <xf numFmtId="4" fontId="7" fillId="0" borderId="22" xfId="63" applyNumberFormat="1" applyFont="1" applyFill="1" applyBorder="1" applyAlignment="1">
      <alignment horizontal="center"/>
    </xf>
    <xf numFmtId="0" fontId="7" fillId="0" borderId="22" xfId="73" applyFont="1" applyFill="1" applyBorder="1">
      <alignment/>
      <protection/>
    </xf>
    <xf numFmtId="4" fontId="7" fillId="0" borderId="22" xfId="63" applyNumberFormat="1" applyFont="1" applyFill="1" applyBorder="1" applyAlignment="1" applyProtection="1">
      <alignment horizontal="right"/>
      <protection/>
    </xf>
    <xf numFmtId="4" fontId="8" fillId="0" borderId="10" xfId="63" applyNumberFormat="1" applyFont="1" applyBorder="1" applyAlignment="1">
      <alignment/>
    </xf>
    <xf numFmtId="4" fontId="8" fillId="0" borderId="10" xfId="45" applyNumberFormat="1" applyFont="1" applyFill="1" applyBorder="1" applyAlignment="1" applyProtection="1">
      <alignment horizontal="right" vertical="center"/>
      <protection/>
    </xf>
    <xf numFmtId="49" fontId="8" fillId="0" borderId="10" xfId="63" applyNumberFormat="1" applyFont="1" applyFill="1" applyBorder="1" applyAlignment="1">
      <alignment vertical="justify"/>
    </xf>
    <xf numFmtId="0" fontId="8" fillId="0" borderId="23" xfId="73" applyFont="1" applyFill="1" applyBorder="1">
      <alignment/>
      <protection/>
    </xf>
    <xf numFmtId="49" fontId="8" fillId="0" borderId="22" xfId="63" applyNumberFormat="1" applyFont="1" applyFill="1" applyBorder="1" applyAlignment="1">
      <alignment vertical="justify"/>
    </xf>
    <xf numFmtId="49" fontId="8" fillId="0" borderId="16" xfId="63" applyNumberFormat="1" applyFont="1" applyFill="1" applyBorder="1" applyAlignment="1">
      <alignment horizontal="left" vertical="justify"/>
    </xf>
    <xf numFmtId="43" fontId="8" fillId="0" borderId="0" xfId="42" applyFont="1" applyAlignment="1">
      <alignment horizontal="center" vertical="center"/>
    </xf>
    <xf numFmtId="49" fontId="6" fillId="0" borderId="22" xfId="63" applyNumberFormat="1" applyFont="1" applyFill="1" applyBorder="1" applyAlignment="1">
      <alignment vertical="justify" wrapText="1"/>
    </xf>
    <xf numFmtId="0" fontId="25" fillId="0" borderId="10" xfId="0" applyNumberFormat="1" applyFont="1" applyFill="1" applyBorder="1" applyAlignment="1">
      <alignment horizontal="left" vertical="top" wrapText="1"/>
    </xf>
    <xf numFmtId="0" fontId="94" fillId="33" borderId="0" xfId="0" applyFont="1" applyFill="1" applyAlignment="1">
      <alignment horizontal="right" vertical="center" wrapText="1"/>
    </xf>
    <xf numFmtId="0" fontId="93" fillId="33" borderId="10" xfId="0" applyFont="1" applyFill="1" applyBorder="1" applyAlignment="1">
      <alignment horizontal="right" vertical="center" wrapText="1"/>
    </xf>
    <xf numFmtId="4" fontId="88" fillId="33" borderId="10" xfId="0" applyNumberFormat="1" applyFont="1" applyFill="1" applyBorder="1" applyAlignment="1">
      <alignment horizontal="right" vertical="center" wrapText="1"/>
    </xf>
    <xf numFmtId="0" fontId="10" fillId="0" borderId="10" xfId="0" applyNumberFormat="1" applyFont="1" applyFill="1" applyBorder="1" applyAlignment="1">
      <alignment horizontal="left" vertical="justify" wrapText="1"/>
    </xf>
    <xf numFmtId="0" fontId="8" fillId="0" borderId="10" xfId="0" applyNumberFormat="1" applyFont="1" applyFill="1" applyBorder="1" applyAlignment="1">
      <alignment horizontal="left" vertical="justify" wrapText="1"/>
    </xf>
    <xf numFmtId="39" fontId="8" fillId="0" borderId="10" xfId="42" applyNumberFormat="1" applyFont="1" applyBorder="1" applyAlignment="1">
      <alignment horizontal="right" wrapText="1"/>
    </xf>
    <xf numFmtId="0" fontId="10" fillId="0" borderId="0" xfId="73" applyFont="1">
      <alignment/>
      <protection/>
    </xf>
    <xf numFmtId="0" fontId="8" fillId="0" borderId="0" xfId="73" applyFont="1" applyAlignment="1">
      <alignment horizontal="justify" vertical="distributed"/>
      <protection/>
    </xf>
    <xf numFmtId="0" fontId="8" fillId="0" borderId="0" xfId="73" applyFont="1" applyAlignment="1">
      <alignment horizontal="center"/>
      <protection/>
    </xf>
    <xf numFmtId="4" fontId="8" fillId="0" borderId="0" xfId="63" applyNumberFormat="1" applyFont="1" applyAlignment="1">
      <alignment/>
    </xf>
    <xf numFmtId="4" fontId="8" fillId="0" borderId="0" xfId="63" applyNumberFormat="1" applyFont="1" applyAlignment="1">
      <alignment horizontal="right"/>
    </xf>
    <xf numFmtId="0" fontId="8" fillId="0" borderId="20" xfId="0" applyFont="1" applyFill="1" applyBorder="1" applyAlignment="1">
      <alignment horizontal="center"/>
    </xf>
    <xf numFmtId="0" fontId="10" fillId="0" borderId="20" xfId="0" applyFont="1" applyFill="1" applyBorder="1" applyAlignment="1">
      <alignment horizontal="center" vertical="center" wrapText="1"/>
    </xf>
    <xf numFmtId="0" fontId="10" fillId="0" borderId="16" xfId="0" applyNumberFormat="1" applyFont="1" applyFill="1" applyBorder="1" applyAlignment="1">
      <alignment horizontal="left" vertical="justify"/>
    </xf>
    <xf numFmtId="43" fontId="8" fillId="0" borderId="0" xfId="42" applyFont="1" applyAlignment="1">
      <alignment/>
    </xf>
    <xf numFmtId="4" fontId="6" fillId="0" borderId="10" xfId="69" applyNumberFormat="1" applyFont="1" applyBorder="1" applyAlignment="1">
      <alignment horizontal="right"/>
    </xf>
    <xf numFmtId="4" fontId="70" fillId="0" borderId="27" xfId="72" applyNumberFormat="1" applyBorder="1" applyAlignment="1">
      <alignment vertical="center"/>
      <protection/>
    </xf>
    <xf numFmtId="0" fontId="70" fillId="0" borderId="28" xfId="72" applyBorder="1">
      <alignment/>
      <protection/>
    </xf>
    <xf numFmtId="0" fontId="70" fillId="0" borderId="28" xfId="72" applyBorder="1" applyAlignment="1">
      <alignment horizontal="center" vertical="center"/>
      <protection/>
    </xf>
    <xf numFmtId="0" fontId="70" fillId="0" borderId="28" xfId="72" applyBorder="1" applyAlignment="1">
      <alignment horizontal="center"/>
      <protection/>
    </xf>
    <xf numFmtId="43" fontId="0" fillId="0" borderId="29" xfId="42" applyFont="1" applyBorder="1" applyAlignment="1">
      <alignment/>
    </xf>
    <xf numFmtId="4" fontId="91" fillId="0" borderId="30" xfId="72" applyNumberFormat="1" applyFont="1" applyBorder="1" applyAlignment="1">
      <alignment vertical="center"/>
      <protection/>
    </xf>
    <xf numFmtId="4" fontId="70" fillId="0" borderId="30" xfId="72" applyNumberFormat="1" applyBorder="1" applyAlignment="1">
      <alignment vertical="center"/>
      <protection/>
    </xf>
    <xf numFmtId="0" fontId="70" fillId="0" borderId="31" xfId="72" applyBorder="1" applyAlignment="1">
      <alignment/>
      <protection/>
    </xf>
    <xf numFmtId="0" fontId="70" fillId="0" borderId="31" xfId="72" applyBorder="1" applyAlignment="1">
      <alignment horizontal="center"/>
      <protection/>
    </xf>
    <xf numFmtId="4" fontId="70" fillId="0" borderId="32" xfId="72" applyNumberFormat="1" applyBorder="1" applyAlignment="1">
      <alignment vertical="center"/>
      <protection/>
    </xf>
    <xf numFmtId="0" fontId="3" fillId="0" borderId="33" xfId="56" applyBorder="1" applyAlignment="1" applyProtection="1">
      <alignment horizontal="center" wrapText="1"/>
      <protection/>
    </xf>
    <xf numFmtId="0" fontId="90" fillId="0" borderId="33" xfId="0" applyFont="1" applyBorder="1" applyAlignment="1">
      <alignment horizontal="center" wrapText="1"/>
    </xf>
    <xf numFmtId="0" fontId="90" fillId="0" borderId="33" xfId="0" applyFont="1" applyBorder="1" applyAlignment="1">
      <alignment horizontal="right" wrapText="1"/>
    </xf>
    <xf numFmtId="4" fontId="18" fillId="0" borderId="33" xfId="62" applyNumberFormat="1" applyFont="1" applyFill="1" applyBorder="1" applyAlignment="1">
      <alignment horizontal="right"/>
    </xf>
    <xf numFmtId="4" fontId="90" fillId="0" borderId="33" xfId="0" applyNumberFormat="1" applyFont="1" applyBorder="1" applyAlignment="1">
      <alignment horizontal="center" wrapText="1"/>
    </xf>
    <xf numFmtId="43" fontId="0" fillId="0" borderId="34" xfId="42" applyFont="1" applyBorder="1" applyAlignment="1">
      <alignment/>
    </xf>
    <xf numFmtId="4" fontId="10" fillId="0" borderId="10" xfId="45" applyNumberFormat="1" applyFont="1" applyFill="1" applyBorder="1" applyAlignment="1" applyProtection="1">
      <alignment horizontal="right" vertical="center"/>
      <protection/>
    </xf>
    <xf numFmtId="0" fontId="90" fillId="0" borderId="0" xfId="0" applyFont="1" applyBorder="1" applyAlignment="1">
      <alignment horizontal="center" wrapText="1"/>
    </xf>
    <xf numFmtId="0" fontId="70" fillId="0" borderId="28" xfId="72" applyBorder="1" applyAlignment="1">
      <alignment horizontal="center"/>
      <protection/>
    </xf>
    <xf numFmtId="0" fontId="8" fillId="0" borderId="23" xfId="0" applyFont="1" applyBorder="1" applyAlignment="1">
      <alignment/>
    </xf>
    <xf numFmtId="0" fontId="8" fillId="0" borderId="22" xfId="0" applyFont="1" applyBorder="1" applyAlignment="1">
      <alignment/>
    </xf>
    <xf numFmtId="0" fontId="8" fillId="0" borderId="35" xfId="0" applyFont="1" applyBorder="1" applyAlignment="1">
      <alignment/>
    </xf>
    <xf numFmtId="0" fontId="10" fillId="0" borderId="23" xfId="73" applyFont="1" applyBorder="1" applyAlignment="1">
      <alignment vertical="distributed"/>
      <protection/>
    </xf>
    <xf numFmtId="0" fontId="8" fillId="0" borderId="23" xfId="0" applyFont="1" applyFill="1" applyBorder="1" applyAlignment="1">
      <alignment/>
    </xf>
    <xf numFmtId="43" fontId="8" fillId="0" borderId="10" xfId="42" applyFont="1" applyBorder="1" applyAlignment="1">
      <alignment horizontal="right"/>
    </xf>
    <xf numFmtId="43" fontId="8" fillId="0" borderId="10" xfId="42" applyFont="1" applyFill="1" applyBorder="1" applyAlignment="1">
      <alignment horizontal="right"/>
    </xf>
    <xf numFmtId="0" fontId="10" fillId="0" borderId="20" xfId="0" applyFont="1" applyBorder="1" applyAlignment="1">
      <alignment/>
    </xf>
    <xf numFmtId="0" fontId="8" fillId="0" borderId="36" xfId="73" applyFont="1" applyFill="1" applyBorder="1">
      <alignment/>
      <protection/>
    </xf>
    <xf numFmtId="0" fontId="8" fillId="0" borderId="37" xfId="73" applyFont="1" applyFill="1" applyBorder="1" applyAlignment="1">
      <alignment horizontal="justify" vertical="distributed"/>
      <protection/>
    </xf>
    <xf numFmtId="4" fontId="34" fillId="0" borderId="0" xfId="62" applyNumberFormat="1" applyFont="1" applyFill="1" applyBorder="1" applyAlignment="1">
      <alignment horizontal="right"/>
    </xf>
    <xf numFmtId="0" fontId="34" fillId="0" borderId="0" xfId="0" applyFont="1" applyFill="1" applyBorder="1" applyAlignment="1">
      <alignment horizontal="center"/>
    </xf>
    <xf numFmtId="4" fontId="35" fillId="0" borderId="0" xfId="62" applyNumberFormat="1" applyFont="1" applyFill="1" applyBorder="1" applyAlignment="1">
      <alignment horizontal="right" vertical="center"/>
    </xf>
    <xf numFmtId="4" fontId="35" fillId="0" borderId="0" xfId="62" applyNumberFormat="1" applyFont="1" applyFill="1" applyBorder="1" applyAlignment="1">
      <alignment/>
    </xf>
    <xf numFmtId="4" fontId="35" fillId="0" borderId="0" xfId="0" applyNumberFormat="1" applyFont="1" applyFill="1" applyBorder="1" applyAlignment="1">
      <alignment horizontal="center"/>
    </xf>
    <xf numFmtId="0" fontId="34" fillId="0" borderId="0" xfId="0" applyFont="1" applyFill="1" applyBorder="1" applyAlignment="1">
      <alignment vertical="justify"/>
    </xf>
    <xf numFmtId="49" fontId="35" fillId="0" borderId="0" xfId="0" applyNumberFormat="1" applyFont="1" applyFill="1" applyBorder="1" applyAlignment="1">
      <alignment horizontal="center"/>
    </xf>
    <xf numFmtId="0" fontId="36" fillId="0" borderId="0" xfId="0" applyFont="1" applyFill="1" applyBorder="1" applyAlignment="1">
      <alignment vertical="justify"/>
    </xf>
    <xf numFmtId="44" fontId="34" fillId="0" borderId="0" xfId="47" applyFont="1" applyFill="1" applyBorder="1" applyAlignment="1">
      <alignment horizontal="right"/>
    </xf>
    <xf numFmtId="0" fontId="34" fillId="0" borderId="0" xfId="0" applyFont="1" applyFill="1" applyBorder="1" applyAlignment="1">
      <alignment horizontal="left" vertical="justify"/>
    </xf>
    <xf numFmtId="4" fontId="35" fillId="0" borderId="0" xfId="77" applyNumberFormat="1" applyFont="1" applyFill="1" applyBorder="1" applyAlignment="1">
      <alignment horizontal="center" vertical="center" wrapText="1"/>
      <protection/>
    </xf>
    <xf numFmtId="0" fontId="35" fillId="0" borderId="0" xfId="0" applyFont="1" applyFill="1" applyBorder="1" applyAlignment="1">
      <alignment/>
    </xf>
    <xf numFmtId="0" fontId="35" fillId="0" borderId="0" xfId="0" applyFont="1" applyFill="1" applyBorder="1" applyAlignment="1">
      <alignment horizontal="center"/>
    </xf>
    <xf numFmtId="4" fontId="99" fillId="0" borderId="0" xfId="73" applyNumberFormat="1" applyFont="1" applyFill="1" applyBorder="1" applyAlignment="1">
      <alignment horizontal="center" vertical="center"/>
      <protection/>
    </xf>
    <xf numFmtId="43" fontId="99" fillId="0" borderId="0" xfId="61" applyFont="1" applyFill="1" applyBorder="1" applyAlignment="1">
      <alignment horizontal="center" vertical="center"/>
    </xf>
    <xf numFmtId="4" fontId="35" fillId="0" borderId="0" xfId="0" applyNumberFormat="1" applyFont="1" applyFill="1" applyBorder="1" applyAlignment="1">
      <alignment horizontal="center" vertical="center"/>
    </xf>
    <xf numFmtId="4" fontId="34" fillId="0" borderId="0" xfId="62" applyNumberFormat="1" applyFont="1" applyFill="1" applyBorder="1" applyAlignment="1">
      <alignment horizontal="right" vertical="center"/>
    </xf>
    <xf numFmtId="4" fontId="35" fillId="0" borderId="0" xfId="0" applyNumberFormat="1" applyFont="1" applyFill="1" applyBorder="1" applyAlignment="1">
      <alignment horizontal="right"/>
    </xf>
    <xf numFmtId="199" fontId="35" fillId="0" borderId="0" xfId="0" applyNumberFormat="1" applyFont="1" applyFill="1" applyBorder="1" applyAlignment="1">
      <alignment/>
    </xf>
    <xf numFmtId="0" fontId="35" fillId="0" borderId="0" xfId="0" applyFont="1" applyFill="1" applyBorder="1" applyAlignment="1">
      <alignment vertical="center"/>
    </xf>
    <xf numFmtId="10" fontId="35" fillId="0" borderId="0" xfId="62" applyNumberFormat="1" applyFont="1" applyFill="1" applyBorder="1" applyAlignment="1">
      <alignment horizontal="right" vertical="center"/>
    </xf>
    <xf numFmtId="4" fontId="35" fillId="0" borderId="0" xfId="77" applyNumberFormat="1" applyFont="1" applyFill="1" applyBorder="1" applyAlignment="1">
      <alignment horizontal="left" vertical="center"/>
      <protection/>
    </xf>
    <xf numFmtId="0" fontId="35"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0" xfId="0" applyNumberFormat="1" applyFont="1" applyFill="1" applyBorder="1" applyAlignment="1">
      <alignment horizontal="left" vertical="center"/>
    </xf>
    <xf numFmtId="0" fontId="34" fillId="0" borderId="0" xfId="0" applyNumberFormat="1" applyFont="1" applyFill="1" applyBorder="1" applyAlignment="1">
      <alignment horizontal="left" vertical="center"/>
    </xf>
    <xf numFmtId="166" fontId="35" fillId="0" borderId="0" xfId="62" applyNumberFormat="1" applyFont="1" applyFill="1" applyBorder="1" applyAlignment="1">
      <alignment horizontal="right" vertical="center"/>
    </xf>
    <xf numFmtId="166" fontId="35" fillId="0" borderId="0" xfId="0" applyNumberFormat="1" applyFont="1" applyFill="1" applyBorder="1" applyAlignment="1">
      <alignment horizontal="right" vertical="center"/>
    </xf>
    <xf numFmtId="166" fontId="35" fillId="0" borderId="0" xfId="60" applyNumberFormat="1" applyFont="1" applyFill="1" applyBorder="1" applyAlignment="1">
      <alignment horizontal="right" vertical="center"/>
    </xf>
    <xf numFmtId="166" fontId="34" fillId="0" borderId="0" xfId="62" applyNumberFormat="1" applyFont="1" applyFill="1" applyBorder="1" applyAlignment="1">
      <alignment horizontal="right"/>
    </xf>
    <xf numFmtId="0" fontId="71" fillId="16" borderId="0" xfId="29" applyBorder="1" applyAlignment="1">
      <alignment horizontal="left" vertical="center"/>
    </xf>
    <xf numFmtId="4" fontId="71" fillId="16" borderId="0" xfId="29" applyNumberFormat="1" applyBorder="1" applyAlignment="1">
      <alignment horizontal="right" vertical="center"/>
    </xf>
    <xf numFmtId="4" fontId="71" fillId="16" borderId="0" xfId="29" applyNumberFormat="1" applyBorder="1" applyAlignment="1">
      <alignment horizontal="center" vertical="center"/>
    </xf>
    <xf numFmtId="0" fontId="71" fillId="22" borderId="0" xfId="35" applyBorder="1" applyAlignment="1">
      <alignment horizontal="left" vertical="center"/>
    </xf>
    <xf numFmtId="4" fontId="71" fillId="22" borderId="0" xfId="35" applyNumberFormat="1" applyBorder="1" applyAlignment="1">
      <alignment horizontal="right" vertical="center"/>
    </xf>
    <xf numFmtId="4" fontId="71" fillId="22" borderId="0" xfId="35" applyNumberFormat="1" applyBorder="1" applyAlignment="1">
      <alignment horizontal="center" vertical="center"/>
    </xf>
    <xf numFmtId="166" fontId="71" fillId="22" borderId="0" xfId="35" applyNumberFormat="1" applyBorder="1" applyAlignment="1">
      <alignment horizontal="right" vertical="center"/>
    </xf>
    <xf numFmtId="4" fontId="62" fillId="16" borderId="0" xfId="29" applyNumberFormat="1" applyFont="1" applyBorder="1" applyAlignment="1">
      <alignment horizontal="right" vertical="center"/>
    </xf>
    <xf numFmtId="4" fontId="62" fillId="16" borderId="0" xfId="29" applyNumberFormat="1" applyFont="1" applyBorder="1" applyAlignment="1">
      <alignment horizontal="center" vertical="center"/>
    </xf>
    <xf numFmtId="166" fontId="62" fillId="16" borderId="0" xfId="29" applyNumberFormat="1" applyFont="1" applyBorder="1" applyAlignment="1">
      <alignment horizontal="right" vertical="center"/>
    </xf>
    <xf numFmtId="0" fontId="35" fillId="16" borderId="0" xfId="29" applyFont="1" applyBorder="1" applyAlignment="1">
      <alignment horizontal="left" vertical="center"/>
    </xf>
    <xf numFmtId="4" fontId="35" fillId="16" borderId="0" xfId="29" applyNumberFormat="1" applyFont="1" applyBorder="1" applyAlignment="1">
      <alignment horizontal="right" vertical="center"/>
    </xf>
    <xf numFmtId="4" fontId="35" fillId="16" borderId="0" xfId="29" applyNumberFormat="1" applyFont="1" applyBorder="1" applyAlignment="1">
      <alignment horizontal="center" vertical="center"/>
    </xf>
    <xf numFmtId="166" fontId="35" fillId="16" borderId="0" xfId="29" applyNumberFormat="1" applyFont="1" applyBorder="1" applyAlignment="1">
      <alignment horizontal="right" vertical="center"/>
    </xf>
    <xf numFmtId="0" fontId="35" fillId="22" borderId="0" xfId="35" applyNumberFormat="1" applyFont="1" applyBorder="1" applyAlignment="1">
      <alignment horizontal="left" vertical="center"/>
    </xf>
    <xf numFmtId="4" fontId="35" fillId="22" borderId="0" xfId="35" applyNumberFormat="1" applyFont="1" applyBorder="1" applyAlignment="1">
      <alignment horizontal="right" vertical="center"/>
    </xf>
    <xf numFmtId="4" fontId="35" fillId="22" borderId="0" xfId="35" applyNumberFormat="1" applyFont="1" applyBorder="1" applyAlignment="1">
      <alignment horizontal="center" vertical="center"/>
    </xf>
    <xf numFmtId="166" fontId="35" fillId="22" borderId="0" xfId="35" applyNumberFormat="1" applyFont="1" applyBorder="1" applyAlignment="1">
      <alignment horizontal="right" vertical="center"/>
    </xf>
    <xf numFmtId="0" fontId="62" fillId="16" borderId="33" xfId="29" applyFont="1" applyBorder="1" applyAlignment="1">
      <alignment horizontal="left" vertical="center"/>
    </xf>
    <xf numFmtId="0" fontId="62" fillId="16" borderId="33" xfId="29" applyFont="1" applyBorder="1" applyAlignment="1">
      <alignment horizontal="right" vertical="center"/>
    </xf>
    <xf numFmtId="0" fontId="62" fillId="16" borderId="33" xfId="29" applyFont="1" applyBorder="1" applyAlignment="1">
      <alignment horizontal="center" vertical="center"/>
    </xf>
    <xf numFmtId="0" fontId="62" fillId="22" borderId="0" xfId="35" applyNumberFormat="1" applyFont="1" applyBorder="1" applyAlignment="1">
      <alignment horizontal="left" vertical="center"/>
    </xf>
    <xf numFmtId="4" fontId="62" fillId="22" borderId="0" xfId="35" applyNumberFormat="1" applyFont="1" applyBorder="1" applyAlignment="1">
      <alignment horizontal="right" vertical="center"/>
    </xf>
    <xf numFmtId="4" fontId="62" fillId="22" borderId="0" xfId="35" applyNumberFormat="1" applyFont="1" applyBorder="1" applyAlignment="1">
      <alignment horizontal="center" vertical="center"/>
    </xf>
    <xf numFmtId="166" fontId="62" fillId="22" borderId="0" xfId="35" applyNumberFormat="1" applyFont="1" applyBorder="1" applyAlignment="1">
      <alignment horizontal="right" vertical="center"/>
    </xf>
    <xf numFmtId="0" fontId="35" fillId="16" borderId="0" xfId="29" applyNumberFormat="1" applyFont="1" applyBorder="1" applyAlignment="1">
      <alignment horizontal="left" vertical="center"/>
    </xf>
    <xf numFmtId="0" fontId="62" fillId="16" borderId="0" xfId="29" applyNumberFormat="1" applyFont="1" applyBorder="1" applyAlignment="1">
      <alignment horizontal="left" vertical="center"/>
    </xf>
    <xf numFmtId="0" fontId="34" fillId="0" borderId="0" xfId="0" applyFont="1" applyFill="1" applyBorder="1" applyAlignment="1">
      <alignment vertical="center"/>
    </xf>
    <xf numFmtId="0" fontId="35" fillId="0" borderId="0" xfId="0" applyFont="1" applyFill="1" applyBorder="1" applyAlignment="1">
      <alignment horizontal="center" vertical="center"/>
    </xf>
    <xf numFmtId="0" fontId="35" fillId="35" borderId="0" xfId="23" applyNumberFormat="1" applyFont="1" applyFill="1" applyBorder="1" applyAlignment="1">
      <alignment horizontal="left" vertical="center"/>
    </xf>
    <xf numFmtId="4" fontId="35" fillId="35" borderId="0" xfId="23" applyNumberFormat="1" applyFont="1" applyFill="1" applyBorder="1" applyAlignment="1">
      <alignment horizontal="right" vertical="center"/>
    </xf>
    <xf numFmtId="4" fontId="35" fillId="35" borderId="0" xfId="23" applyNumberFormat="1" applyFont="1" applyFill="1" applyBorder="1" applyAlignment="1">
      <alignment horizontal="center" vertical="center"/>
    </xf>
    <xf numFmtId="166" fontId="35" fillId="35" borderId="0" xfId="23" applyNumberFormat="1" applyFont="1" applyFill="1" applyBorder="1" applyAlignment="1">
      <alignment horizontal="right" vertical="center"/>
    </xf>
    <xf numFmtId="0" fontId="35" fillId="35" borderId="0" xfId="0" applyNumberFormat="1" applyFont="1" applyFill="1" applyBorder="1" applyAlignment="1">
      <alignment horizontal="left" vertical="center"/>
    </xf>
    <xf numFmtId="4" fontId="35" fillId="35" borderId="0" xfId="62" applyNumberFormat="1" applyFont="1" applyFill="1" applyBorder="1" applyAlignment="1">
      <alignment horizontal="right" vertical="center"/>
    </xf>
    <xf numFmtId="4" fontId="35" fillId="35" borderId="0" xfId="77" applyNumberFormat="1" applyFont="1" applyFill="1" applyBorder="1" applyAlignment="1">
      <alignment horizontal="center" vertical="center" wrapText="1"/>
      <protection/>
    </xf>
    <xf numFmtId="166" fontId="35" fillId="35" borderId="0" xfId="0" applyNumberFormat="1" applyFont="1" applyFill="1" applyBorder="1" applyAlignment="1">
      <alignment horizontal="right" vertical="center"/>
    </xf>
    <xf numFmtId="4" fontId="35" fillId="35" borderId="0" xfId="77" applyNumberFormat="1" applyFont="1" applyFill="1" applyBorder="1" applyAlignment="1">
      <alignment horizontal="left" vertical="center"/>
      <protection/>
    </xf>
    <xf numFmtId="0" fontId="62" fillId="22" borderId="38" xfId="35" applyFont="1" applyBorder="1" applyAlignment="1">
      <alignment horizontal="right" vertical="justify" wrapText="1"/>
    </xf>
    <xf numFmtId="4" fontId="62" fillId="22" borderId="39" xfId="35" applyNumberFormat="1" applyFont="1" applyBorder="1" applyAlignment="1">
      <alignment horizontal="right"/>
    </xf>
    <xf numFmtId="4" fontId="62" fillId="22" borderId="39" xfId="35" applyNumberFormat="1" applyFont="1" applyBorder="1" applyAlignment="1">
      <alignment horizontal="right" vertical="center"/>
    </xf>
    <xf numFmtId="0" fontId="35" fillId="0" borderId="40" xfId="0" applyFont="1" applyFill="1" applyBorder="1" applyAlignment="1">
      <alignment horizontal="right" vertical="justify" wrapText="1"/>
    </xf>
    <xf numFmtId="166" fontId="34" fillId="0" borderId="18" xfId="62" applyNumberFormat="1" applyFont="1" applyFill="1" applyBorder="1" applyAlignment="1">
      <alignment horizontal="right" vertical="center"/>
    </xf>
    <xf numFmtId="166" fontId="34" fillId="0" borderId="18" xfId="0" applyNumberFormat="1" applyFont="1" applyFill="1" applyBorder="1" applyAlignment="1">
      <alignment horizontal="right" vertical="center"/>
    </xf>
    <xf numFmtId="166" fontId="34" fillId="0" borderId="18" xfId="62" applyNumberFormat="1" applyFont="1" applyFill="1" applyBorder="1" applyAlignment="1">
      <alignment horizontal="right"/>
    </xf>
    <xf numFmtId="0" fontId="35" fillId="0" borderId="41" xfId="0" applyFont="1" applyFill="1" applyBorder="1" applyAlignment="1">
      <alignment horizontal="right" vertical="justify" wrapText="1"/>
    </xf>
    <xf numFmtId="10" fontId="35" fillId="0" borderId="42" xfId="62" applyNumberFormat="1" applyFont="1" applyFill="1" applyBorder="1" applyAlignment="1">
      <alignment horizontal="right" vertical="center"/>
    </xf>
    <xf numFmtId="4" fontId="35" fillId="0" borderId="42" xfId="0" applyNumberFormat="1" applyFont="1" applyFill="1" applyBorder="1" applyAlignment="1">
      <alignment horizontal="right"/>
    </xf>
    <xf numFmtId="166" fontId="35" fillId="0" borderId="42" xfId="62" applyNumberFormat="1" applyFont="1" applyFill="1" applyBorder="1" applyAlignment="1">
      <alignment horizontal="right" vertical="center"/>
    </xf>
    <xf numFmtId="166" fontId="62" fillId="35" borderId="18" xfId="29" applyNumberFormat="1" applyFont="1" applyFill="1" applyBorder="1" applyAlignment="1">
      <alignment horizontal="right" vertical="center"/>
    </xf>
    <xf numFmtId="0" fontId="69" fillId="22" borderId="41" xfId="35" applyFont="1" applyBorder="1" applyAlignment="1">
      <alignment vertical="justify" wrapText="1"/>
    </xf>
    <xf numFmtId="10" fontId="69" fillId="22" borderId="42" xfId="35" applyNumberFormat="1" applyFont="1" applyBorder="1" applyAlignment="1">
      <alignment horizontal="right"/>
    </xf>
    <xf numFmtId="4" fontId="69" fillId="22" borderId="42" xfId="35" applyNumberFormat="1" applyFont="1" applyBorder="1" applyAlignment="1">
      <alignment horizontal="center"/>
    </xf>
    <xf numFmtId="166" fontId="69" fillId="22" borderId="43" xfId="35" applyNumberFormat="1" applyFont="1" applyBorder="1" applyAlignment="1">
      <alignment horizontal="right"/>
    </xf>
    <xf numFmtId="166" fontId="35" fillId="36" borderId="13" xfId="0" applyNumberFormat="1" applyFont="1" applyFill="1" applyBorder="1" applyAlignment="1">
      <alignment/>
    </xf>
    <xf numFmtId="0" fontId="71" fillId="16" borderId="40" xfId="29" applyBorder="1" applyAlignment="1">
      <alignment horizontal="right" vertical="center"/>
    </xf>
    <xf numFmtId="4" fontId="71" fillId="16" borderId="18" xfId="29" applyNumberFormat="1" applyBorder="1" applyAlignment="1">
      <alignment horizontal="right" vertical="center"/>
    </xf>
    <xf numFmtId="49" fontId="35" fillId="0" borderId="40" xfId="0" applyNumberFormat="1" applyFont="1" applyFill="1" applyBorder="1" applyAlignment="1">
      <alignment horizontal="right" vertical="center"/>
    </xf>
    <xf numFmtId="2" fontId="71" fillId="22" borderId="40" xfId="35" applyNumberFormat="1" applyBorder="1" applyAlignment="1">
      <alignment horizontal="right" vertical="center"/>
    </xf>
    <xf numFmtId="166" fontId="71" fillId="22" borderId="18" xfId="35" applyNumberFormat="1" applyBorder="1" applyAlignment="1">
      <alignment horizontal="right" vertical="center"/>
    </xf>
    <xf numFmtId="2" fontId="35" fillId="0" borderId="40" xfId="0" applyNumberFormat="1" applyFont="1" applyFill="1" applyBorder="1" applyAlignment="1">
      <alignment horizontal="right" vertical="center"/>
    </xf>
    <xf numFmtId="2" fontId="35" fillId="16" borderId="40" xfId="29" applyNumberFormat="1" applyFont="1" applyBorder="1" applyAlignment="1">
      <alignment horizontal="right" vertical="center"/>
    </xf>
    <xf numFmtId="166" fontId="35" fillId="16" borderId="18" xfId="29" applyNumberFormat="1" applyFont="1" applyBorder="1" applyAlignment="1">
      <alignment horizontal="right" vertical="center"/>
    </xf>
    <xf numFmtId="0" fontId="35" fillId="0" borderId="18" xfId="0" applyFont="1" applyFill="1" applyBorder="1" applyAlignment="1">
      <alignment/>
    </xf>
    <xf numFmtId="2" fontId="35" fillId="22" borderId="40" xfId="35" applyNumberFormat="1" applyFont="1" applyBorder="1" applyAlignment="1">
      <alignment horizontal="right" vertical="center"/>
    </xf>
    <xf numFmtId="0" fontId="0" fillId="0" borderId="18" xfId="0" applyBorder="1" applyAlignment="1">
      <alignment/>
    </xf>
    <xf numFmtId="2" fontId="35" fillId="35" borderId="40" xfId="23" applyNumberFormat="1" applyFont="1" applyFill="1" applyBorder="1" applyAlignment="1">
      <alignment horizontal="right" vertical="center"/>
    </xf>
    <xf numFmtId="2" fontId="35" fillId="35" borderId="40" xfId="0" applyNumberFormat="1" applyFont="1" applyFill="1" applyBorder="1" applyAlignment="1">
      <alignment horizontal="right" vertical="center"/>
    </xf>
    <xf numFmtId="166" fontId="34" fillId="35" borderId="18" xfId="62" applyNumberFormat="1" applyFont="1" applyFill="1" applyBorder="1" applyAlignment="1">
      <alignment horizontal="right" vertical="center"/>
    </xf>
    <xf numFmtId="2" fontId="99" fillId="35" borderId="40" xfId="23" applyNumberFormat="1" applyFont="1" applyFill="1" applyBorder="1" applyAlignment="1">
      <alignment horizontal="right" vertical="center"/>
    </xf>
    <xf numFmtId="2" fontId="62" fillId="16" borderId="40" xfId="29" applyNumberFormat="1" applyFont="1" applyBorder="1" applyAlignment="1">
      <alignment horizontal="right" vertical="center"/>
    </xf>
    <xf numFmtId="166" fontId="35" fillId="35" borderId="18" xfId="35" applyNumberFormat="1" applyFont="1" applyFill="1" applyBorder="1" applyAlignment="1">
      <alignment horizontal="right" vertical="center"/>
    </xf>
    <xf numFmtId="2" fontId="62" fillId="22" borderId="40" xfId="35" applyNumberFormat="1" applyFont="1" applyBorder="1" applyAlignment="1">
      <alignment horizontal="right" vertical="center"/>
    </xf>
    <xf numFmtId="49" fontId="34" fillId="0" borderId="40" xfId="0" applyNumberFormat="1" applyFont="1" applyFill="1" applyBorder="1" applyAlignment="1">
      <alignment horizontal="right" vertical="center"/>
    </xf>
    <xf numFmtId="0" fontId="62" fillId="16" borderId="44" xfId="29" applyFont="1" applyBorder="1" applyAlignment="1">
      <alignment horizontal="right" vertical="center"/>
    </xf>
    <xf numFmtId="166" fontId="62" fillId="36" borderId="18" xfId="35" applyNumberFormat="1" applyFont="1" applyFill="1" applyBorder="1" applyAlignment="1">
      <alignment horizontal="right" vertical="center"/>
    </xf>
    <xf numFmtId="0" fontId="34" fillId="0" borderId="40" xfId="73" applyFont="1" applyFill="1" applyBorder="1" applyAlignment="1">
      <alignment vertical="center"/>
      <protection/>
    </xf>
    <xf numFmtId="0" fontId="34" fillId="0" borderId="41" xfId="73" applyFont="1" applyFill="1" applyBorder="1" applyAlignment="1">
      <alignment vertical="center"/>
      <protection/>
    </xf>
    <xf numFmtId="166" fontId="35" fillId="36" borderId="18" xfId="0" applyNumberFormat="1" applyFont="1" applyFill="1" applyBorder="1" applyAlignment="1">
      <alignment/>
    </xf>
    <xf numFmtId="166" fontId="35" fillId="36" borderId="18" xfId="35" applyNumberFormat="1" applyFont="1" applyFill="1" applyBorder="1" applyAlignment="1">
      <alignment horizontal="right" vertical="center"/>
    </xf>
    <xf numFmtId="166" fontId="62" fillId="36" borderId="18" xfId="29" applyNumberFormat="1" applyFont="1" applyFill="1" applyBorder="1" applyAlignment="1">
      <alignment horizontal="right" vertical="center"/>
    </xf>
    <xf numFmtId="166" fontId="35" fillId="36" borderId="18" xfId="62" applyNumberFormat="1" applyFont="1" applyFill="1" applyBorder="1" applyAlignment="1">
      <alignment horizontal="right" vertical="center"/>
    </xf>
    <xf numFmtId="0" fontId="34" fillId="0" borderId="0" xfId="0" applyFont="1" applyFill="1" applyBorder="1" applyAlignment="1">
      <alignment/>
    </xf>
    <xf numFmtId="0" fontId="17" fillId="34" borderId="45" xfId="0" applyFont="1" applyFill="1" applyBorder="1" applyAlignment="1">
      <alignment horizontal="left" vertical="center" wrapText="1"/>
    </xf>
    <xf numFmtId="0" fontId="90" fillId="0" borderId="0" xfId="0" applyFont="1" applyBorder="1" applyAlignment="1">
      <alignment horizontal="center" wrapText="1"/>
    </xf>
    <xf numFmtId="0" fontId="90" fillId="34" borderId="15" xfId="0" applyFont="1" applyFill="1" applyBorder="1" applyAlignment="1">
      <alignment horizontal="center" wrapText="1"/>
    </xf>
    <xf numFmtId="0" fontId="90" fillId="34" borderId="46" xfId="0" applyFont="1" applyFill="1" applyBorder="1" applyAlignment="1">
      <alignment horizontal="center" wrapText="1"/>
    </xf>
    <xf numFmtId="0" fontId="90" fillId="34" borderId="41" xfId="0" applyFont="1" applyFill="1" applyBorder="1" applyAlignment="1">
      <alignment horizontal="center" wrapText="1"/>
    </xf>
    <xf numFmtId="0" fontId="90" fillId="34" borderId="47" xfId="0" applyFont="1" applyFill="1" applyBorder="1" applyAlignment="1">
      <alignment horizontal="center" wrapText="1"/>
    </xf>
    <xf numFmtId="0" fontId="92" fillId="0" borderId="0" xfId="0" applyFont="1" applyBorder="1" applyAlignment="1">
      <alignment horizontal="left" vertical="center"/>
    </xf>
    <xf numFmtId="0" fontId="2" fillId="0" borderId="15" xfId="0" applyFont="1" applyBorder="1" applyAlignment="1">
      <alignment horizontal="center"/>
    </xf>
    <xf numFmtId="0" fontId="2" fillId="0" borderId="48" xfId="0" applyFont="1" applyBorder="1" applyAlignment="1">
      <alignment horizontal="center"/>
    </xf>
    <xf numFmtId="0" fontId="2" fillId="0" borderId="46" xfId="0" applyFont="1" applyBorder="1" applyAlignment="1">
      <alignment horizontal="center"/>
    </xf>
    <xf numFmtId="0" fontId="17" fillId="34" borderId="15" xfId="0" applyFont="1" applyFill="1" applyBorder="1" applyAlignment="1">
      <alignment horizontal="left" vertical="center" wrapText="1"/>
    </xf>
    <xf numFmtId="0" fontId="17" fillId="34" borderId="46" xfId="0" applyFont="1" applyFill="1" applyBorder="1" applyAlignment="1">
      <alignment horizontal="left" vertical="center" wrapText="1"/>
    </xf>
    <xf numFmtId="0" fontId="88" fillId="33" borderId="10" xfId="0" applyFont="1" applyFill="1" applyBorder="1" applyAlignment="1">
      <alignment horizontal="right" vertical="center" wrapText="1"/>
    </xf>
    <xf numFmtId="0" fontId="88" fillId="37" borderId="10" xfId="0" applyFont="1" applyFill="1" applyBorder="1" applyAlignment="1">
      <alignment vertical="center" wrapText="1"/>
    </xf>
    <xf numFmtId="0" fontId="90" fillId="0" borderId="12" xfId="0" applyFont="1" applyBorder="1" applyAlignment="1">
      <alignment horizontal="center" wrapText="1"/>
    </xf>
    <xf numFmtId="0" fontId="90" fillId="34" borderId="48" xfId="0" applyFont="1" applyFill="1" applyBorder="1" applyAlignment="1">
      <alignment horizontal="center" wrapText="1"/>
    </xf>
    <xf numFmtId="0" fontId="90" fillId="34" borderId="49" xfId="0" applyFont="1" applyFill="1" applyBorder="1" applyAlignment="1">
      <alignment horizontal="center" wrapText="1"/>
    </xf>
    <xf numFmtId="0" fontId="90" fillId="34" borderId="11" xfId="0" applyFont="1" applyFill="1" applyBorder="1" applyAlignment="1">
      <alignment horizontal="center" wrapText="1"/>
    </xf>
    <xf numFmtId="0" fontId="90" fillId="34" borderId="12" xfId="0" applyFont="1" applyFill="1" applyBorder="1" applyAlignment="1">
      <alignment horizontal="center" wrapText="1"/>
    </xf>
    <xf numFmtId="0" fontId="90" fillId="34" borderId="50" xfId="0" applyFont="1" applyFill="1" applyBorder="1" applyAlignment="1">
      <alignment horizontal="center" wrapText="1"/>
    </xf>
    <xf numFmtId="0" fontId="70" fillId="0" borderId="28" xfId="72" applyBorder="1" applyAlignment="1">
      <alignment horizontal="center"/>
      <protection/>
    </xf>
    <xf numFmtId="0" fontId="92" fillId="0" borderId="31" xfId="0" applyFont="1" applyBorder="1" applyAlignment="1">
      <alignment horizontal="left" vertical="center"/>
    </xf>
    <xf numFmtId="0" fontId="100" fillId="0" borderId="51" xfId="72" applyFont="1" applyBorder="1" applyAlignment="1">
      <alignment horizontal="center" vertical="center"/>
      <protection/>
    </xf>
    <xf numFmtId="0" fontId="100" fillId="0" borderId="52" xfId="72" applyFont="1" applyBorder="1" applyAlignment="1">
      <alignment horizontal="center" vertical="center"/>
      <protection/>
    </xf>
    <xf numFmtId="0" fontId="17" fillId="34" borderId="14" xfId="0" applyFont="1" applyFill="1" applyBorder="1" applyAlignment="1">
      <alignment horizontal="left" vertical="center" wrapText="1"/>
    </xf>
    <xf numFmtId="0" fontId="10" fillId="0" borderId="23" xfId="73" applyFont="1" applyBorder="1" applyAlignment="1">
      <alignment horizontal="left" vertical="distributed"/>
      <protection/>
    </xf>
    <xf numFmtId="0" fontId="10" fillId="0" borderId="20" xfId="73" applyFont="1" applyBorder="1" applyAlignment="1">
      <alignment horizontal="left" vertical="distributed"/>
      <protection/>
    </xf>
    <xf numFmtId="0" fontId="99" fillId="0" borderId="0" xfId="0" applyFont="1" applyFill="1" applyBorder="1" applyAlignment="1">
      <alignment horizontal="center" wrapText="1"/>
    </xf>
    <xf numFmtId="0" fontId="35" fillId="0" borderId="0" xfId="0" applyFont="1" applyFill="1" applyBorder="1" applyAlignment="1">
      <alignment horizontal="center"/>
    </xf>
    <xf numFmtId="0" fontId="3" fillId="0" borderId="0" xfId="56" applyFill="1" applyBorder="1" applyAlignment="1" applyProtection="1">
      <alignment horizontal="center" wrapText="1"/>
      <protection/>
    </xf>
    <xf numFmtId="185" fontId="34" fillId="0" borderId="0" xfId="0" applyNumberFormat="1" applyFont="1" applyFill="1" applyBorder="1" applyAlignment="1">
      <alignment horizontal="center" vertical="center"/>
    </xf>
    <xf numFmtId="0" fontId="83" fillId="27" borderId="53" xfId="81" applyBorder="1" applyAlignment="1">
      <alignment horizontal="center" vertical="center"/>
    </xf>
    <xf numFmtId="0" fontId="83" fillId="27" borderId="54" xfId="81" applyBorder="1" applyAlignment="1">
      <alignment horizontal="center" vertical="center"/>
    </xf>
    <xf numFmtId="0" fontId="83" fillId="27" borderId="55" xfId="81" applyBorder="1" applyAlignment="1">
      <alignment horizontal="center" vertical="center"/>
    </xf>
    <xf numFmtId="0" fontId="101" fillId="22" borderId="27" xfId="35" applyFont="1" applyBorder="1" applyAlignment="1">
      <alignment horizontal="center" vertical="center" wrapText="1"/>
    </xf>
    <xf numFmtId="0" fontId="101" fillId="22" borderId="28" xfId="35" applyFont="1" applyBorder="1" applyAlignment="1">
      <alignment horizontal="center" vertical="center" wrapText="1"/>
    </xf>
    <xf numFmtId="0" fontId="101" fillId="22" borderId="29" xfId="35" applyFont="1" applyBorder="1" applyAlignment="1">
      <alignment horizontal="center" vertical="center" wrapText="1"/>
    </xf>
    <xf numFmtId="0" fontId="102" fillId="22" borderId="32" xfId="35" applyFont="1" applyBorder="1" applyAlignment="1">
      <alignment horizontal="center" vertical="center" wrapText="1"/>
    </xf>
    <xf numFmtId="0" fontId="102" fillId="22" borderId="33" xfId="35" applyFont="1" applyBorder="1" applyAlignment="1">
      <alignment horizontal="center" vertical="center" wrapText="1"/>
    </xf>
    <xf numFmtId="0" fontId="102" fillId="22" borderId="34" xfId="35" applyFont="1" applyBorder="1" applyAlignment="1">
      <alignment horizontal="center" vertical="center" wrapText="1"/>
    </xf>
    <xf numFmtId="0" fontId="103" fillId="0" borderId="0" xfId="0" applyFont="1" applyFill="1" applyBorder="1" applyAlignment="1">
      <alignment horizontal="center" vertical="center" wrapText="1"/>
    </xf>
    <xf numFmtId="0" fontId="104" fillId="38" borderId="27" xfId="0" applyFont="1" applyFill="1" applyBorder="1" applyAlignment="1">
      <alignment horizontal="center" vertical="center" wrapText="1"/>
    </xf>
    <xf numFmtId="0" fontId="104" fillId="38" borderId="28" xfId="0" applyFont="1" applyFill="1" applyBorder="1" applyAlignment="1">
      <alignment horizontal="center" vertical="center" wrapText="1"/>
    </xf>
    <xf numFmtId="0" fontId="104" fillId="38" borderId="32" xfId="0" applyFont="1" applyFill="1" applyBorder="1" applyAlignment="1">
      <alignment horizontal="center" vertical="center" wrapText="1"/>
    </xf>
    <xf numFmtId="0" fontId="104" fillId="38" borderId="33" xfId="0" applyFont="1" applyFill="1" applyBorder="1" applyAlignment="1">
      <alignment horizontal="center" vertical="center" wrapText="1"/>
    </xf>
    <xf numFmtId="0" fontId="104" fillId="38" borderId="29" xfId="0" applyFont="1" applyFill="1" applyBorder="1" applyAlignment="1">
      <alignment horizontal="center" vertical="center" wrapText="1"/>
    </xf>
    <xf numFmtId="0" fontId="104" fillId="38" borderId="34" xfId="0" applyFont="1" applyFill="1" applyBorder="1" applyAlignment="1">
      <alignment horizontal="center" vertical="center" wrapText="1"/>
    </xf>
    <xf numFmtId="0" fontId="105" fillId="0" borderId="0" xfId="0" applyFont="1" applyFill="1" applyBorder="1" applyAlignment="1">
      <alignment horizontal="center" wrapText="1"/>
    </xf>
    <xf numFmtId="0" fontId="10" fillId="0" borderId="25" xfId="0" applyNumberFormat="1" applyFont="1" applyFill="1" applyBorder="1" applyAlignment="1">
      <alignment horizontal="center" vertical="justify"/>
    </xf>
    <xf numFmtId="0" fontId="10" fillId="0" borderId="56" xfId="0" applyNumberFormat="1" applyFont="1" applyFill="1" applyBorder="1" applyAlignment="1">
      <alignment horizontal="center" vertical="justify"/>
    </xf>
    <xf numFmtId="0" fontId="10" fillId="0" borderId="57" xfId="73" applyFont="1" applyFill="1" applyBorder="1" applyAlignment="1">
      <alignment horizontal="center" vertical="distributed"/>
      <protection/>
    </xf>
    <xf numFmtId="0" fontId="10" fillId="0" borderId="58" xfId="73" applyFont="1" applyFill="1" applyBorder="1" applyAlignment="1">
      <alignment horizontal="center" vertical="distributed"/>
      <protection/>
    </xf>
    <xf numFmtId="0" fontId="106" fillId="0" borderId="59" xfId="73" applyFont="1" applyFill="1" applyBorder="1" applyAlignment="1">
      <alignment horizontal="left" vertical="center"/>
      <protection/>
    </xf>
    <xf numFmtId="0" fontId="106" fillId="0" borderId="58" xfId="73" applyFont="1" applyFill="1" applyBorder="1" applyAlignment="1">
      <alignment horizontal="left" vertical="center"/>
      <protection/>
    </xf>
    <xf numFmtId="0" fontId="6" fillId="0" borderId="23" xfId="73" applyFont="1" applyBorder="1" applyAlignment="1">
      <alignment horizontal="left"/>
      <protection/>
    </xf>
    <xf numFmtId="0" fontId="6" fillId="0" borderId="20" xfId="73" applyFont="1" applyBorder="1" applyAlignment="1">
      <alignment horizontal="left"/>
      <protection/>
    </xf>
    <xf numFmtId="0" fontId="6" fillId="0" borderId="10" xfId="73" applyFont="1" applyFill="1" applyBorder="1" applyAlignment="1">
      <alignment horizontal="justify"/>
      <protection/>
    </xf>
    <xf numFmtId="0" fontId="6" fillId="0" borderId="36" xfId="73" applyFont="1" applyFill="1" applyBorder="1" applyAlignment="1">
      <alignment horizontal="left" wrapText="1"/>
      <protection/>
    </xf>
    <xf numFmtId="0" fontId="6" fillId="0" borderId="18" xfId="73" applyFont="1" applyFill="1" applyBorder="1" applyAlignment="1">
      <alignment horizontal="left" wrapText="1"/>
      <protection/>
    </xf>
    <xf numFmtId="49" fontId="30" fillId="0" borderId="23" xfId="73" applyNumberFormat="1" applyFont="1" applyBorder="1" applyAlignment="1">
      <alignment horizontal="left" wrapText="1"/>
      <protection/>
    </xf>
    <xf numFmtId="49" fontId="30" fillId="0" borderId="20" xfId="73" applyNumberFormat="1" applyFont="1" applyBorder="1" applyAlignment="1">
      <alignment horizontal="left" wrapText="1"/>
      <protection/>
    </xf>
    <xf numFmtId="0" fontId="106" fillId="0" borderId="59" xfId="73" applyFont="1" applyFill="1" applyBorder="1" applyAlignment="1">
      <alignment horizontal="left" vertical="center" wrapText="1"/>
      <protection/>
    </xf>
    <xf numFmtId="0" fontId="106" fillId="0" borderId="58" xfId="73" applyFont="1" applyFill="1" applyBorder="1" applyAlignment="1">
      <alignment horizontal="left" vertical="center" wrapText="1"/>
      <protection/>
    </xf>
    <xf numFmtId="49" fontId="6" fillId="0" borderId="10" xfId="63" applyNumberFormat="1" applyFont="1" applyFill="1" applyBorder="1" applyAlignment="1">
      <alignment horizontal="justify"/>
    </xf>
    <xf numFmtId="0" fontId="106" fillId="0" borderId="10" xfId="73" applyFont="1" applyFill="1" applyBorder="1" applyAlignment="1">
      <alignment horizontal="left" vertical="center" wrapText="1"/>
      <protection/>
    </xf>
    <xf numFmtId="0" fontId="6" fillId="0" borderId="10" xfId="73" applyFont="1" applyBorder="1" applyAlignment="1">
      <alignment horizontal="left" wrapText="1"/>
      <protection/>
    </xf>
    <xf numFmtId="0" fontId="106" fillId="0" borderId="10" xfId="73" applyFont="1" applyFill="1" applyBorder="1" applyAlignment="1">
      <alignment horizontal="left" vertical="top" wrapText="1"/>
      <protection/>
    </xf>
    <xf numFmtId="49" fontId="6" fillId="0" borderId="22" xfId="63" applyNumberFormat="1" applyFont="1" applyFill="1" applyBorder="1" applyAlignment="1">
      <alignment horizontal="left" vertical="justify" wrapText="1"/>
    </xf>
    <xf numFmtId="49" fontId="6" fillId="0" borderId="22" xfId="63" applyNumberFormat="1" applyFont="1" applyFill="1" applyBorder="1" applyAlignment="1">
      <alignment horizontal="left" vertical="justify"/>
    </xf>
    <xf numFmtId="0" fontId="6" fillId="0" borderId="10" xfId="73" applyFont="1" applyBorder="1" applyAlignment="1">
      <alignment horizontal="left"/>
      <protection/>
    </xf>
    <xf numFmtId="0" fontId="6" fillId="0" borderId="10" xfId="73" applyFont="1" applyFill="1" applyBorder="1" applyAlignment="1">
      <alignment horizontal="left" vertical="center" wrapText="1"/>
      <protection/>
    </xf>
    <xf numFmtId="0" fontId="5" fillId="0" borderId="41" xfId="73" applyFont="1" applyBorder="1" applyAlignment="1">
      <alignment horizontal="center"/>
      <protection/>
    </xf>
    <xf numFmtId="0" fontId="5" fillId="0" borderId="42" xfId="73" applyFont="1" applyBorder="1" applyAlignment="1">
      <alignment horizontal="center"/>
      <protection/>
    </xf>
    <xf numFmtId="0" fontId="5" fillId="0" borderId="47" xfId="73" applyFont="1" applyBorder="1" applyAlignment="1">
      <alignment horizontal="center"/>
      <protection/>
    </xf>
    <xf numFmtId="0" fontId="10" fillId="0" borderId="23" xfId="73" applyFont="1" applyFill="1" applyBorder="1" applyAlignment="1">
      <alignment horizontal="center" vertical="distributed"/>
      <protection/>
    </xf>
    <xf numFmtId="0" fontId="10" fillId="0" borderId="20" xfId="73" applyFont="1" applyFill="1" applyBorder="1" applyAlignment="1">
      <alignment horizontal="center" vertical="distributed"/>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Millares [0] 5" xfId="59"/>
    <cellStyle name="Millares 2" xfId="60"/>
    <cellStyle name="Millares 2 3" xfId="61"/>
    <cellStyle name="Millares 3" xfId="62"/>
    <cellStyle name="Millares 4" xfId="63"/>
    <cellStyle name="Millares 5" xfId="64"/>
    <cellStyle name="Millares 5 2" xfId="65"/>
    <cellStyle name="Millares 9" xfId="66"/>
    <cellStyle name="Millares_ESCUELA CARMEN CELIA BALAGUER" xfId="67"/>
    <cellStyle name="Millares_Libro1" xfId="68"/>
    <cellStyle name="Moneda 17" xfId="69"/>
    <cellStyle name="Moneda 18" xfId="70"/>
    <cellStyle name="Neutral" xfId="71"/>
    <cellStyle name="Normal 2" xfId="72"/>
    <cellStyle name="Normal 2 2" xfId="73"/>
    <cellStyle name="Normal 2 3" xfId="74"/>
    <cellStyle name="Normal 3" xfId="75"/>
    <cellStyle name="Normal 4 10" xfId="76"/>
    <cellStyle name="Normal 8" xfId="77"/>
    <cellStyle name="Normal_ACUEDUCTO LAS GUAZUMAS PARTE A" xfId="78"/>
    <cellStyle name="Normal_Libro1" xfId="79"/>
    <cellStyle name="Note" xfId="80"/>
    <cellStyle name="Output" xfId="81"/>
    <cellStyle name="Percent" xfId="82"/>
    <cellStyle name="Percent 2" xfId="83"/>
    <cellStyle name="Porcentaje 2" xfId="84"/>
    <cellStyle name="Porcentaje 3" xfId="85"/>
    <cellStyle name="Title" xfId="86"/>
    <cellStyle name="Total" xfId="87"/>
    <cellStyle name="Warning Text" xfId="88"/>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695325</xdr:colOff>
      <xdr:row>0</xdr:row>
      <xdr:rowOff>504825</xdr:rowOff>
    </xdr:from>
    <xdr:to>
      <xdr:col>1</xdr:col>
      <xdr:colOff>1647825</xdr:colOff>
      <xdr:row>4</xdr:row>
      <xdr:rowOff>123825</xdr:rowOff>
    </xdr:to>
    <xdr:pic>
      <xdr:nvPicPr>
        <xdr:cNvPr id="1" name="Picture 2"/>
        <xdr:cNvPicPr preferRelativeResize="1">
          <a:picLocks noChangeAspect="1"/>
        </xdr:cNvPicPr>
      </xdr:nvPicPr>
      <xdr:blipFill>
        <a:blip r:embed="rId1"/>
        <a:stretch>
          <a:fillRect/>
        </a:stretch>
      </xdr:blipFill>
      <xdr:spPr>
        <a:xfrm>
          <a:off x="1457325" y="504825"/>
          <a:ext cx="952500" cy="1362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Elvira\Documents\Carpeta%20Conproina\CAP%20EL%20LIMON%20Budget%20Propos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Hotel"/>
      <sheetName val="Villa JK"/>
      <sheetName val="Villa KR"/>
      <sheetName val="Villa C"/>
      <sheetName val="Area Comunes"/>
      <sheetName val="Vías interiores"/>
      <sheetName val="Puente"/>
      <sheetName val="Instalaciones eléctricas"/>
      <sheetName val="Alcantarillado"/>
      <sheetName val="Acueducto"/>
      <sheetName val="Drenaje Pluvial"/>
      <sheetName val="Campamento"/>
      <sheetName val="Movimiento de Tierra"/>
      <sheetName val="Anali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motercsrl@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remotercsrl@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remotercsrl@gmail.com" TargetMode="External" /></Relationships>
</file>

<file path=xl/worksheets/sheet1.xml><?xml version="1.0" encoding="utf-8"?>
<worksheet xmlns="http://schemas.openxmlformats.org/spreadsheetml/2006/main" xmlns:r="http://schemas.openxmlformats.org/officeDocument/2006/relationships">
  <dimension ref="A1:M248"/>
  <sheetViews>
    <sheetView showGridLines="0" zoomScalePageLayoutView="0" workbookViewId="0" topLeftCell="A198">
      <selection activeCell="F204" sqref="F204"/>
    </sheetView>
  </sheetViews>
  <sheetFormatPr defaultColWidth="11.421875" defaultRowHeight="12.75"/>
  <cols>
    <col min="1" max="1" width="13.421875" style="0" customWidth="1"/>
    <col min="2" max="2" width="47.00390625" style="0" customWidth="1"/>
    <col min="3" max="3" width="9.421875" style="0" customWidth="1"/>
    <col min="4" max="4" width="17.421875" style="7" customWidth="1"/>
    <col min="5" max="5" width="16.421875" style="15" customWidth="1"/>
    <col min="6" max="6" width="20.140625" style="15" customWidth="1"/>
    <col min="7" max="7" width="18.421875" style="0" customWidth="1"/>
    <col min="8" max="8" width="40.140625" style="0" customWidth="1"/>
    <col min="9" max="9" width="6.140625" style="0" customWidth="1"/>
    <col min="10" max="10" width="17.28125" style="0" customWidth="1"/>
    <col min="11" max="11" width="10.28125" style="1" bestFit="1" customWidth="1"/>
  </cols>
  <sheetData>
    <row r="1" spans="1:13" ht="15">
      <c r="A1" s="30"/>
      <c r="B1" s="123"/>
      <c r="C1" s="124"/>
      <c r="D1" s="125"/>
      <c r="E1" s="123"/>
      <c r="F1" s="31"/>
      <c r="G1" s="31"/>
      <c r="H1" s="33"/>
      <c r="J1" s="9"/>
      <c r="K1" s="33"/>
      <c r="L1" s="9"/>
      <c r="M1" s="9"/>
    </row>
    <row r="2" spans="1:13" ht="33.75">
      <c r="A2" s="126"/>
      <c r="B2" s="652" t="s">
        <v>476</v>
      </c>
      <c r="C2" s="652"/>
      <c r="D2" s="652"/>
      <c r="E2" s="652"/>
      <c r="F2" s="652"/>
      <c r="G2" s="132"/>
      <c r="H2" s="132"/>
      <c r="I2" s="9"/>
      <c r="J2" s="9"/>
      <c r="K2" s="33"/>
      <c r="L2" s="9"/>
      <c r="M2" s="9"/>
    </row>
    <row r="3" spans="1:13" ht="16.5">
      <c r="A3" s="30"/>
      <c r="B3" s="131" t="s">
        <v>378</v>
      </c>
      <c r="C3" s="656" t="s">
        <v>379</v>
      </c>
      <c r="D3" s="657"/>
      <c r="E3" s="648"/>
      <c r="F3" s="649"/>
      <c r="G3" s="130"/>
      <c r="H3" s="130"/>
      <c r="I3" s="9"/>
      <c r="J3" s="9"/>
      <c r="K3" s="33"/>
      <c r="L3" s="9"/>
      <c r="M3" s="9"/>
    </row>
    <row r="4" spans="1:13" ht="16.5">
      <c r="A4" s="30"/>
      <c r="B4" s="112" t="s">
        <v>380</v>
      </c>
      <c r="C4" s="646" t="s">
        <v>381</v>
      </c>
      <c r="D4" s="646"/>
      <c r="E4" s="650"/>
      <c r="F4" s="651"/>
      <c r="G4" s="130"/>
      <c r="H4" s="130"/>
      <c r="J4" s="9"/>
      <c r="K4" s="33"/>
      <c r="L4" s="9"/>
      <c r="M4" s="9"/>
    </row>
    <row r="5" spans="1:13" ht="15.75" customHeight="1">
      <c r="A5" s="30"/>
      <c r="B5" s="112" t="s">
        <v>382</v>
      </c>
      <c r="C5" s="113"/>
      <c r="D5" s="114"/>
      <c r="E5" s="647"/>
      <c r="F5" s="647"/>
      <c r="G5" s="647"/>
      <c r="H5" s="120"/>
      <c r="J5" s="9"/>
      <c r="K5" s="9"/>
      <c r="L5" s="9"/>
      <c r="M5" s="9"/>
    </row>
    <row r="6" spans="1:13" ht="15.75">
      <c r="A6" s="30"/>
      <c r="B6" s="112" t="s">
        <v>383</v>
      </c>
      <c r="C6" s="113"/>
      <c r="D6" s="114"/>
      <c r="E6" s="115"/>
      <c r="F6" s="112"/>
      <c r="G6" s="112"/>
      <c r="H6" s="110"/>
      <c r="J6" s="9"/>
      <c r="K6" s="9"/>
      <c r="L6" s="9"/>
      <c r="M6" s="9"/>
    </row>
    <row r="7" spans="1:13" ht="15.75">
      <c r="A7" s="30"/>
      <c r="B7" s="116" t="s">
        <v>384</v>
      </c>
      <c r="C7" s="113"/>
      <c r="D7" s="114"/>
      <c r="E7" s="115"/>
      <c r="F7" s="112"/>
      <c r="G7" s="112"/>
      <c r="H7" s="1"/>
      <c r="J7" s="9"/>
      <c r="K7" s="9"/>
      <c r="L7" s="9"/>
      <c r="M7" s="9"/>
    </row>
    <row r="8" spans="1:13" ht="12.75">
      <c r="A8" s="653" t="s">
        <v>243</v>
      </c>
      <c r="B8" s="654"/>
      <c r="C8" s="654"/>
      <c r="D8" s="654"/>
      <c r="E8" s="654"/>
      <c r="F8" s="655"/>
      <c r="J8" s="9"/>
      <c r="K8" s="9"/>
      <c r="L8" s="9"/>
      <c r="M8" s="9"/>
    </row>
    <row r="9" spans="2:13" ht="12.75">
      <c r="B9" s="83" t="s">
        <v>253</v>
      </c>
      <c r="C9" s="84"/>
      <c r="D9" s="84"/>
      <c r="E9" s="84"/>
      <c r="F9" s="85"/>
      <c r="J9" s="9"/>
      <c r="K9" s="9"/>
      <c r="L9" s="9"/>
      <c r="M9" s="9"/>
    </row>
    <row r="10" spans="1:13" ht="13.5">
      <c r="A10" s="86"/>
      <c r="B10" s="87" t="s">
        <v>0</v>
      </c>
      <c r="C10" s="87" t="s">
        <v>1</v>
      </c>
      <c r="D10" s="88" t="s">
        <v>276</v>
      </c>
      <c r="E10" s="88" t="s">
        <v>277</v>
      </c>
      <c r="F10" s="88" t="s">
        <v>278</v>
      </c>
      <c r="I10" s="8"/>
      <c r="J10" s="34"/>
      <c r="K10" s="35"/>
      <c r="L10" s="36"/>
      <c r="M10" s="32"/>
    </row>
    <row r="11" spans="1:13" ht="13.5">
      <c r="A11" s="86"/>
      <c r="B11" s="86" t="s">
        <v>47</v>
      </c>
      <c r="C11" s="86" t="s">
        <v>39</v>
      </c>
      <c r="D11" s="89">
        <f aca="true" t="shared" si="0" ref="D11:D42">F11/1.18</f>
        <v>1809.322033898305</v>
      </c>
      <c r="E11" s="90">
        <f aca="true" t="shared" si="1" ref="E11:E42">D11*0.18</f>
        <v>325.6779661016949</v>
      </c>
      <c r="F11" s="90">
        <v>2135</v>
      </c>
      <c r="I11" s="8"/>
      <c r="J11" s="34"/>
      <c r="K11" s="35"/>
      <c r="L11" s="36"/>
      <c r="M11" s="32"/>
    </row>
    <row r="12" spans="1:13" ht="13.5">
      <c r="A12" s="86"/>
      <c r="B12" s="86" t="s">
        <v>38</v>
      </c>
      <c r="C12" s="86" t="s">
        <v>39</v>
      </c>
      <c r="D12" s="89">
        <f t="shared" si="0"/>
        <v>1809.322033898305</v>
      </c>
      <c r="E12" s="90">
        <f t="shared" si="1"/>
        <v>325.6779661016949</v>
      </c>
      <c r="F12" s="90">
        <v>2135</v>
      </c>
      <c r="I12" s="8"/>
      <c r="J12" s="34"/>
      <c r="K12" s="35"/>
      <c r="L12" s="36"/>
      <c r="M12" s="32"/>
    </row>
    <row r="13" spans="1:13" ht="13.5">
      <c r="A13" s="86"/>
      <c r="B13" s="86" t="s">
        <v>40</v>
      </c>
      <c r="C13" s="86" t="s">
        <v>39</v>
      </c>
      <c r="D13" s="89">
        <f t="shared" si="0"/>
        <v>1809.322033898305</v>
      </c>
      <c r="E13" s="90">
        <f t="shared" si="1"/>
        <v>325.6779661016949</v>
      </c>
      <c r="F13" s="90">
        <v>2135</v>
      </c>
      <c r="I13" s="8"/>
      <c r="J13" s="34"/>
      <c r="K13" s="35"/>
      <c r="L13" s="36"/>
      <c r="M13" s="32"/>
    </row>
    <row r="14" spans="1:13" ht="13.5">
      <c r="A14" s="86"/>
      <c r="B14" s="86" t="s">
        <v>41</v>
      </c>
      <c r="C14" s="86" t="s">
        <v>39</v>
      </c>
      <c r="D14" s="89">
        <f t="shared" si="0"/>
        <v>1809.322033898305</v>
      </c>
      <c r="E14" s="90">
        <f t="shared" si="1"/>
        <v>325.6779661016949</v>
      </c>
      <c r="F14" s="90">
        <v>2135</v>
      </c>
      <c r="I14" s="8"/>
      <c r="J14" s="34"/>
      <c r="K14" s="35"/>
      <c r="L14" s="36"/>
      <c r="M14" s="32"/>
    </row>
    <row r="15" spans="1:13" ht="13.5">
      <c r="A15" s="86"/>
      <c r="B15" s="86" t="s">
        <v>57</v>
      </c>
      <c r="C15" s="86" t="s">
        <v>39</v>
      </c>
      <c r="D15" s="89">
        <f t="shared" si="0"/>
        <v>2222.375</v>
      </c>
      <c r="E15" s="90">
        <f t="shared" si="1"/>
        <v>400.0275</v>
      </c>
      <c r="F15" s="90">
        <v>2622.4024999999997</v>
      </c>
      <c r="I15" s="8"/>
      <c r="J15" s="34"/>
      <c r="K15" s="35"/>
      <c r="L15" s="36"/>
      <c r="M15" s="32"/>
    </row>
    <row r="16" spans="1:13" ht="13.5">
      <c r="A16" s="86"/>
      <c r="B16" s="86" t="s">
        <v>42</v>
      </c>
      <c r="C16" s="86" t="s">
        <v>43</v>
      </c>
      <c r="D16" s="89">
        <f t="shared" si="0"/>
        <v>33.13559322033898</v>
      </c>
      <c r="E16" s="90">
        <f t="shared" si="1"/>
        <v>5.964406779661017</v>
      </c>
      <c r="F16" s="90">
        <v>39.099999999999994</v>
      </c>
      <c r="I16" s="8"/>
      <c r="J16" s="34"/>
      <c r="K16" s="35"/>
      <c r="L16" s="36"/>
      <c r="M16" s="32"/>
    </row>
    <row r="17" spans="1:13" ht="13.5">
      <c r="A17" s="86"/>
      <c r="B17" s="86" t="s">
        <v>219</v>
      </c>
      <c r="C17" s="86" t="s">
        <v>7</v>
      </c>
      <c r="D17" s="89">
        <f t="shared" si="0"/>
        <v>663.3474576271187</v>
      </c>
      <c r="E17" s="90">
        <f t="shared" si="1"/>
        <v>119.40254237288137</v>
      </c>
      <c r="F17" s="91">
        <v>782.75</v>
      </c>
      <c r="I17" s="8"/>
      <c r="J17" s="34"/>
      <c r="K17" s="35"/>
      <c r="L17" s="36"/>
      <c r="M17" s="32"/>
    </row>
    <row r="18" spans="1:13" ht="13.5">
      <c r="A18" s="86"/>
      <c r="B18" s="86" t="s">
        <v>62</v>
      </c>
      <c r="C18" s="86" t="s">
        <v>7</v>
      </c>
      <c r="D18" s="89">
        <f t="shared" si="0"/>
        <v>762.7118644067797</v>
      </c>
      <c r="E18" s="90">
        <f t="shared" si="1"/>
        <v>137.28813559322035</v>
      </c>
      <c r="F18" s="91">
        <v>900</v>
      </c>
      <c r="I18" s="8"/>
      <c r="J18" s="34"/>
      <c r="K18" s="35"/>
      <c r="L18" s="36"/>
      <c r="M18" s="32"/>
    </row>
    <row r="19" spans="1:13" ht="13.5">
      <c r="A19" s="86"/>
      <c r="B19" s="86" t="s">
        <v>70</v>
      </c>
      <c r="C19" s="86" t="s">
        <v>7</v>
      </c>
      <c r="D19" s="89">
        <f t="shared" si="0"/>
        <v>762.7118644067797</v>
      </c>
      <c r="E19" s="90">
        <f t="shared" si="1"/>
        <v>137.28813559322035</v>
      </c>
      <c r="F19" s="91">
        <v>900</v>
      </c>
      <c r="I19" s="8"/>
      <c r="J19" s="34"/>
      <c r="K19" s="35"/>
      <c r="L19" s="36"/>
      <c r="M19" s="32"/>
    </row>
    <row r="20" spans="1:13" ht="13.5">
      <c r="A20" s="86"/>
      <c r="B20" s="86" t="s">
        <v>81</v>
      </c>
      <c r="C20" s="86" t="s">
        <v>7</v>
      </c>
      <c r="D20" s="89">
        <f t="shared" si="0"/>
        <v>1012.7118644067797</v>
      </c>
      <c r="E20" s="90">
        <f t="shared" si="1"/>
        <v>182.28813559322035</v>
      </c>
      <c r="F20" s="91">
        <v>1195</v>
      </c>
      <c r="I20" s="8"/>
      <c r="J20" s="34"/>
      <c r="K20" s="35"/>
      <c r="L20" s="36"/>
      <c r="M20" s="32"/>
    </row>
    <row r="21" spans="1:13" ht="13.5">
      <c r="A21" s="86"/>
      <c r="B21" s="86" t="s">
        <v>215</v>
      </c>
      <c r="C21" s="86" t="s">
        <v>7</v>
      </c>
      <c r="D21" s="89">
        <f t="shared" si="0"/>
        <v>296.6101694915254</v>
      </c>
      <c r="E21" s="90">
        <f t="shared" si="1"/>
        <v>53.389830508474574</v>
      </c>
      <c r="F21" s="91">
        <v>350</v>
      </c>
      <c r="I21" s="8"/>
      <c r="J21" s="34"/>
      <c r="K21" s="35"/>
      <c r="L21" s="36"/>
      <c r="M21" s="32"/>
    </row>
    <row r="22" spans="1:13" ht="13.5">
      <c r="A22" s="86"/>
      <c r="B22" s="86" t="s">
        <v>63</v>
      </c>
      <c r="C22" s="86" t="s">
        <v>7</v>
      </c>
      <c r="D22" s="89">
        <f t="shared" si="0"/>
        <v>932.2033898305085</v>
      </c>
      <c r="E22" s="90">
        <f t="shared" si="1"/>
        <v>167.79661016949152</v>
      </c>
      <c r="F22" s="91">
        <v>1100</v>
      </c>
      <c r="I22" s="8"/>
      <c r="J22" s="34"/>
      <c r="K22" s="35"/>
      <c r="L22" s="36"/>
      <c r="M22" s="32"/>
    </row>
    <row r="23" spans="1:13" s="3" customFormat="1" ht="12.75">
      <c r="A23" s="92"/>
      <c r="B23" s="92" t="s">
        <v>217</v>
      </c>
      <c r="C23" s="92" t="s">
        <v>218</v>
      </c>
      <c r="D23" s="89">
        <f t="shared" si="0"/>
        <v>402.54237288135596</v>
      </c>
      <c r="E23" s="90">
        <f t="shared" si="1"/>
        <v>72.45762711864407</v>
      </c>
      <c r="F23" s="93">
        <v>475</v>
      </c>
      <c r="G23"/>
      <c r="H23"/>
      <c r="I23" s="8"/>
      <c r="J23" s="37"/>
      <c r="K23" s="38"/>
      <c r="L23" s="39"/>
      <c r="M23" s="40"/>
    </row>
    <row r="24" spans="1:13" ht="13.5">
      <c r="A24" s="86"/>
      <c r="B24" s="86" t="s">
        <v>130</v>
      </c>
      <c r="C24" s="86" t="s">
        <v>73</v>
      </c>
      <c r="D24" s="89">
        <f t="shared" si="0"/>
        <v>1144.0677966101696</v>
      </c>
      <c r="E24" s="90">
        <f t="shared" si="1"/>
        <v>205.9322033898305</v>
      </c>
      <c r="F24" s="91">
        <v>1350</v>
      </c>
      <c r="I24" s="8"/>
      <c r="J24" s="34"/>
      <c r="K24" s="35"/>
      <c r="L24" s="36"/>
      <c r="M24" s="32"/>
    </row>
    <row r="25" spans="1:13" ht="13.5">
      <c r="A25" s="86"/>
      <c r="B25" s="86" t="s">
        <v>90</v>
      </c>
      <c r="C25" s="86" t="s">
        <v>15</v>
      </c>
      <c r="D25" s="89">
        <f t="shared" si="0"/>
        <v>20.33898305084746</v>
      </c>
      <c r="E25" s="90">
        <f t="shared" si="1"/>
        <v>3.661016949152543</v>
      </c>
      <c r="F25" s="90">
        <v>24</v>
      </c>
      <c r="I25" s="8"/>
      <c r="J25" s="34"/>
      <c r="K25" s="35"/>
      <c r="L25" s="36"/>
      <c r="M25" s="32"/>
    </row>
    <row r="26" spans="1:13" ht="13.5">
      <c r="A26" s="86"/>
      <c r="B26" s="86" t="s">
        <v>95</v>
      </c>
      <c r="C26" s="86" t="s">
        <v>15</v>
      </c>
      <c r="D26" s="89">
        <f t="shared" si="0"/>
        <v>22.45762711864407</v>
      </c>
      <c r="E26" s="90">
        <f t="shared" si="1"/>
        <v>4.0423728813559325</v>
      </c>
      <c r="F26" s="91">
        <v>26.5</v>
      </c>
      <c r="I26" s="8"/>
      <c r="J26" s="34"/>
      <c r="K26" s="35"/>
      <c r="L26" s="36"/>
      <c r="M26" s="32"/>
    </row>
    <row r="27" spans="1:13" ht="13.5">
      <c r="A27" s="86"/>
      <c r="B27" s="86" t="s">
        <v>97</v>
      </c>
      <c r="C27" s="86" t="s">
        <v>15</v>
      </c>
      <c r="D27" s="89">
        <f t="shared" si="0"/>
        <v>32.03389830508475</v>
      </c>
      <c r="E27" s="90">
        <f t="shared" si="1"/>
        <v>5.766101694915254</v>
      </c>
      <c r="F27" s="90">
        <v>37.8</v>
      </c>
      <c r="I27" s="8"/>
      <c r="J27" s="34"/>
      <c r="K27" s="35"/>
      <c r="L27" s="36"/>
      <c r="M27" s="32"/>
    </row>
    <row r="28" spans="1:13" ht="13.5">
      <c r="A28" s="86"/>
      <c r="B28" s="86" t="s">
        <v>64</v>
      </c>
      <c r="C28" s="86" t="s">
        <v>65</v>
      </c>
      <c r="D28" s="89">
        <f t="shared" si="0"/>
        <v>228.8135593220339</v>
      </c>
      <c r="E28" s="90">
        <f t="shared" si="1"/>
        <v>41.186440677966104</v>
      </c>
      <c r="F28" s="91">
        <v>270</v>
      </c>
      <c r="I28" s="8"/>
      <c r="J28" s="34"/>
      <c r="K28" s="35"/>
      <c r="L28" s="36"/>
      <c r="M28" s="32"/>
    </row>
    <row r="29" spans="1:13" ht="13.5">
      <c r="A29" s="86"/>
      <c r="B29" s="86" t="s">
        <v>154</v>
      </c>
      <c r="C29" s="86" t="s">
        <v>65</v>
      </c>
      <c r="D29" s="89">
        <f t="shared" si="0"/>
        <v>519.1517118644067</v>
      </c>
      <c r="E29" s="90">
        <f t="shared" si="1"/>
        <v>93.4473081355932</v>
      </c>
      <c r="F29" s="90">
        <v>612.5990199999999</v>
      </c>
      <c r="I29" s="8"/>
      <c r="J29" s="34"/>
      <c r="K29" s="35"/>
      <c r="L29" s="36"/>
      <c r="M29" s="32"/>
    </row>
    <row r="30" spans="1:13" ht="13.5">
      <c r="A30" s="86"/>
      <c r="B30" s="86" t="s">
        <v>82</v>
      </c>
      <c r="C30" s="86" t="s">
        <v>65</v>
      </c>
      <c r="D30" s="89">
        <f t="shared" si="0"/>
        <v>247.5026101694915</v>
      </c>
      <c r="E30" s="90">
        <f t="shared" si="1"/>
        <v>44.55046983050847</v>
      </c>
      <c r="F30" s="90">
        <v>292.05307999999997</v>
      </c>
      <c r="I30" s="8"/>
      <c r="J30" s="34"/>
      <c r="K30" s="35"/>
      <c r="L30" s="36"/>
      <c r="M30" s="32"/>
    </row>
    <row r="31" spans="1:13" ht="13.5">
      <c r="A31" s="86"/>
      <c r="B31" s="86" t="s">
        <v>128</v>
      </c>
      <c r="C31" s="86" t="s">
        <v>15</v>
      </c>
      <c r="D31" s="89">
        <f t="shared" si="0"/>
        <v>1016.949152542373</v>
      </c>
      <c r="E31" s="90">
        <f t="shared" si="1"/>
        <v>183.05084745762713</v>
      </c>
      <c r="F31" s="91">
        <v>1200</v>
      </c>
      <c r="I31" s="8"/>
      <c r="J31" s="34"/>
      <c r="K31" s="35"/>
      <c r="L31" s="36"/>
      <c r="M31" s="32"/>
    </row>
    <row r="32" spans="1:13" s="3" customFormat="1" ht="25.5">
      <c r="A32" s="92"/>
      <c r="B32" s="92" t="s">
        <v>118</v>
      </c>
      <c r="C32" s="92" t="s">
        <v>15</v>
      </c>
      <c r="D32" s="89">
        <f t="shared" si="0"/>
        <v>3368.64406779661</v>
      </c>
      <c r="E32" s="90">
        <f t="shared" si="1"/>
        <v>606.3559322033898</v>
      </c>
      <c r="F32" s="91">
        <v>3975</v>
      </c>
      <c r="G32"/>
      <c r="H32"/>
      <c r="I32" s="8"/>
      <c r="J32" s="37"/>
      <c r="K32" s="38"/>
      <c r="L32" s="39"/>
      <c r="M32" s="32"/>
    </row>
    <row r="33" spans="1:13" ht="13.5">
      <c r="A33" s="86"/>
      <c r="B33" s="86" t="s">
        <v>266</v>
      </c>
      <c r="C33" s="86" t="s">
        <v>120</v>
      </c>
      <c r="D33" s="89">
        <f t="shared" si="0"/>
        <v>190.04237288135593</v>
      </c>
      <c r="E33" s="90">
        <f t="shared" si="1"/>
        <v>34.20762711864407</v>
      </c>
      <c r="F33" s="90">
        <v>224.24999999999997</v>
      </c>
      <c r="I33" s="8"/>
      <c r="J33" s="34"/>
      <c r="K33" s="35"/>
      <c r="L33" s="36"/>
      <c r="M33" s="40"/>
    </row>
    <row r="34" spans="1:13" ht="13.5">
      <c r="A34" s="86"/>
      <c r="B34" s="86" t="s">
        <v>275</v>
      </c>
      <c r="C34" s="86" t="s">
        <v>15</v>
      </c>
      <c r="D34" s="89">
        <f t="shared" si="0"/>
        <v>711.4406779661016</v>
      </c>
      <c r="E34" s="90">
        <f t="shared" si="1"/>
        <v>128.05932203389827</v>
      </c>
      <c r="F34" s="90">
        <v>839.4999999999999</v>
      </c>
      <c r="I34" s="8"/>
      <c r="J34" s="34"/>
      <c r="K34" s="35"/>
      <c r="L34" s="36"/>
      <c r="M34" s="32"/>
    </row>
    <row r="35" spans="1:13" ht="13.5">
      <c r="A35" s="86"/>
      <c r="B35" s="86" t="s">
        <v>228</v>
      </c>
      <c r="C35" s="86" t="s">
        <v>15</v>
      </c>
      <c r="D35" s="89">
        <f t="shared" si="0"/>
        <v>72.03389830508475</v>
      </c>
      <c r="E35" s="90">
        <f t="shared" si="1"/>
        <v>12.966101694915254</v>
      </c>
      <c r="F35" s="91">
        <v>85</v>
      </c>
      <c r="I35" s="8"/>
      <c r="J35" s="34"/>
      <c r="K35" s="35"/>
      <c r="L35" s="36"/>
      <c r="M35" s="32"/>
    </row>
    <row r="36" spans="1:13" ht="13.5">
      <c r="A36" s="86"/>
      <c r="B36" s="86" t="s">
        <v>229</v>
      </c>
      <c r="C36" s="86" t="s">
        <v>15</v>
      </c>
      <c r="D36" s="89">
        <f t="shared" si="0"/>
        <v>38.13559322033898</v>
      </c>
      <c r="E36" s="90">
        <f t="shared" si="1"/>
        <v>6.864406779661016</v>
      </c>
      <c r="F36" s="91">
        <v>45</v>
      </c>
      <c r="I36" s="8"/>
      <c r="J36" s="34"/>
      <c r="K36" s="35"/>
      <c r="L36" s="36"/>
      <c r="M36" s="32"/>
    </row>
    <row r="37" spans="1:13" ht="13.5">
      <c r="A37" s="86"/>
      <c r="B37" s="86" t="s">
        <v>230</v>
      </c>
      <c r="C37" s="86" t="s">
        <v>15</v>
      </c>
      <c r="D37" s="89">
        <f t="shared" si="0"/>
        <v>635.5932203389831</v>
      </c>
      <c r="E37" s="90">
        <f t="shared" si="1"/>
        <v>114.40677966101696</v>
      </c>
      <c r="F37" s="91">
        <v>750</v>
      </c>
      <c r="I37" s="8"/>
      <c r="J37" s="34"/>
      <c r="K37" s="35"/>
      <c r="L37" s="36"/>
      <c r="M37" s="41"/>
    </row>
    <row r="38" spans="1:13" ht="13.5">
      <c r="A38" s="86"/>
      <c r="B38" s="86" t="s">
        <v>267</v>
      </c>
      <c r="C38" s="86" t="s">
        <v>129</v>
      </c>
      <c r="D38" s="89">
        <f t="shared" si="0"/>
        <v>229.3925466101695</v>
      </c>
      <c r="E38" s="90">
        <f t="shared" si="1"/>
        <v>41.290658389830504</v>
      </c>
      <c r="F38" s="90">
        <v>270.683205</v>
      </c>
      <c r="I38" s="8"/>
      <c r="J38" s="34"/>
      <c r="K38" s="35"/>
      <c r="L38" s="36"/>
      <c r="M38" s="32"/>
    </row>
    <row r="39" spans="1:13" ht="13.5">
      <c r="A39" s="86"/>
      <c r="B39" s="86" t="s">
        <v>264</v>
      </c>
      <c r="C39" s="86" t="s">
        <v>121</v>
      </c>
      <c r="D39" s="89">
        <f t="shared" si="0"/>
        <v>301.83241101694915</v>
      </c>
      <c r="E39" s="90">
        <f t="shared" si="1"/>
        <v>54.32983398305085</v>
      </c>
      <c r="F39" s="90">
        <v>356.162245</v>
      </c>
      <c r="I39" s="8"/>
      <c r="J39" s="34"/>
      <c r="K39" s="35"/>
      <c r="L39" s="36"/>
      <c r="M39" s="41"/>
    </row>
    <row r="40" spans="1:13" ht="13.5">
      <c r="A40" s="86"/>
      <c r="B40" s="86" t="s">
        <v>268</v>
      </c>
      <c r="C40" s="86" t="s">
        <v>122</v>
      </c>
      <c r="D40" s="89">
        <f t="shared" si="0"/>
        <v>633.4745762711864</v>
      </c>
      <c r="E40" s="90">
        <f t="shared" si="1"/>
        <v>114.02542372881355</v>
      </c>
      <c r="F40" s="90">
        <v>747.4999999999999</v>
      </c>
      <c r="I40" s="8"/>
      <c r="J40" s="34"/>
      <c r="K40" s="35"/>
      <c r="L40" s="36"/>
      <c r="M40" s="41"/>
    </row>
    <row r="41" spans="1:13" ht="13.5">
      <c r="A41" s="86"/>
      <c r="B41" s="86" t="s">
        <v>273</v>
      </c>
      <c r="C41" s="86" t="s">
        <v>272</v>
      </c>
      <c r="D41" s="89">
        <f t="shared" si="0"/>
        <v>542.8389830508474</v>
      </c>
      <c r="E41" s="90">
        <f t="shared" si="1"/>
        <v>97.71101694915254</v>
      </c>
      <c r="F41" s="90">
        <v>640.55</v>
      </c>
      <c r="I41" s="8"/>
      <c r="J41" s="34"/>
      <c r="K41" s="35"/>
      <c r="L41" s="36"/>
      <c r="M41" s="41"/>
    </row>
    <row r="42" spans="1:13" ht="13.5">
      <c r="A42" s="86"/>
      <c r="B42" s="86" t="s">
        <v>333</v>
      </c>
      <c r="C42" s="86" t="s">
        <v>237</v>
      </c>
      <c r="D42" s="89">
        <f t="shared" si="0"/>
        <v>2211.8644067796613</v>
      </c>
      <c r="E42" s="90">
        <f t="shared" si="1"/>
        <v>398.13559322033905</v>
      </c>
      <c r="F42" s="94">
        <v>2610</v>
      </c>
      <c r="I42" s="8"/>
      <c r="J42" s="34"/>
      <c r="K42" s="35"/>
      <c r="L42" s="36"/>
      <c r="M42" s="41"/>
    </row>
    <row r="43" spans="1:13" ht="13.5">
      <c r="A43" s="86"/>
      <c r="B43" s="86" t="s">
        <v>334</v>
      </c>
      <c r="C43" s="86" t="s">
        <v>237</v>
      </c>
      <c r="D43" s="89">
        <f aca="true" t="shared" si="2" ref="D43:D70">F43/1.18</f>
        <v>2436.4406779661017</v>
      </c>
      <c r="E43" s="90">
        <f aca="true" t="shared" si="3" ref="E43:E70">D43*0.18</f>
        <v>438.5593220338983</v>
      </c>
      <c r="F43" s="94">
        <v>2875</v>
      </c>
      <c r="I43" s="8"/>
      <c r="J43" s="34"/>
      <c r="K43" s="35"/>
      <c r="L43" s="36"/>
      <c r="M43" s="41"/>
    </row>
    <row r="44" spans="1:13" ht="13.5">
      <c r="A44" s="86"/>
      <c r="B44" s="86" t="s">
        <v>126</v>
      </c>
      <c r="C44" s="86" t="s">
        <v>15</v>
      </c>
      <c r="D44" s="89">
        <f t="shared" si="2"/>
        <v>1.08675</v>
      </c>
      <c r="E44" s="90">
        <f t="shared" si="3"/>
        <v>0.195615</v>
      </c>
      <c r="F44" s="90">
        <v>1.282365</v>
      </c>
      <c r="I44" s="8"/>
      <c r="J44" s="34"/>
      <c r="K44" s="35"/>
      <c r="L44" s="36"/>
      <c r="M44" s="32"/>
    </row>
    <row r="45" spans="1:13" ht="13.5">
      <c r="A45" s="86"/>
      <c r="B45" s="86" t="s">
        <v>127</v>
      </c>
      <c r="C45" s="86" t="s">
        <v>15</v>
      </c>
      <c r="D45" s="89">
        <f t="shared" si="2"/>
        <v>0.7244025423728813</v>
      </c>
      <c r="E45" s="90">
        <f t="shared" si="3"/>
        <v>0.13039245762711862</v>
      </c>
      <c r="F45" s="90">
        <v>0.8547949999999999</v>
      </c>
      <c r="I45" s="8"/>
      <c r="J45" s="34"/>
      <c r="K45" s="35"/>
      <c r="L45" s="36"/>
      <c r="M45" s="32"/>
    </row>
    <row r="46" spans="1:13" ht="13.5">
      <c r="A46" s="86"/>
      <c r="B46" s="86" t="s">
        <v>18</v>
      </c>
      <c r="C46" s="86" t="s">
        <v>17</v>
      </c>
      <c r="D46" s="89">
        <f t="shared" si="2"/>
        <v>69573.77203389832</v>
      </c>
      <c r="E46" s="90">
        <f t="shared" si="3"/>
        <v>12523.278966101698</v>
      </c>
      <c r="F46" s="90">
        <v>82097.051</v>
      </c>
      <c r="I46" s="8"/>
      <c r="J46" s="34"/>
      <c r="K46" s="35"/>
      <c r="L46" s="36"/>
      <c r="M46" s="32"/>
    </row>
    <row r="47" spans="1:13" ht="13.5">
      <c r="A47" s="86"/>
      <c r="B47" s="86" t="s">
        <v>138</v>
      </c>
      <c r="C47" s="86" t="s">
        <v>17</v>
      </c>
      <c r="D47" s="89">
        <f t="shared" si="2"/>
        <v>66.40314406779662</v>
      </c>
      <c r="E47" s="90">
        <f t="shared" si="3"/>
        <v>11.95256593220339</v>
      </c>
      <c r="F47" s="90">
        <v>78.35571</v>
      </c>
      <c r="I47" s="8"/>
      <c r="J47" s="34"/>
      <c r="K47" s="35"/>
      <c r="L47" s="36"/>
      <c r="M47" s="41"/>
    </row>
    <row r="48" spans="1:13" ht="13.5">
      <c r="A48" s="86"/>
      <c r="B48" s="86" t="s">
        <v>139</v>
      </c>
      <c r="C48" s="86" t="s">
        <v>17</v>
      </c>
      <c r="D48" s="89">
        <f t="shared" si="2"/>
        <v>27.76860169491525</v>
      </c>
      <c r="E48" s="90">
        <f t="shared" si="3"/>
        <v>4.998348305084745</v>
      </c>
      <c r="F48" s="90">
        <v>32.766949999999994</v>
      </c>
      <c r="I48" s="8"/>
      <c r="J48" s="34"/>
      <c r="K48" s="35"/>
      <c r="L48" s="36"/>
      <c r="M48" s="41"/>
    </row>
    <row r="49" spans="1:13" ht="13.5">
      <c r="A49" s="86"/>
      <c r="B49" s="86" t="s">
        <v>131</v>
      </c>
      <c r="C49" s="86" t="s">
        <v>129</v>
      </c>
      <c r="D49" s="89">
        <f t="shared" si="2"/>
        <v>43.162033898305076</v>
      </c>
      <c r="E49" s="90">
        <f t="shared" si="3"/>
        <v>7.769166101694913</v>
      </c>
      <c r="F49" s="90">
        <v>50.93119999999999</v>
      </c>
      <c r="I49" s="8"/>
      <c r="J49" s="34"/>
      <c r="K49" s="35"/>
      <c r="L49" s="36"/>
      <c r="M49" s="41"/>
    </row>
    <row r="50" spans="1:13" ht="13.5">
      <c r="A50" s="86"/>
      <c r="B50" s="86" t="s">
        <v>132</v>
      </c>
      <c r="C50" s="86" t="s">
        <v>122</v>
      </c>
      <c r="D50" s="89">
        <f t="shared" si="2"/>
        <v>249.78389830508476</v>
      </c>
      <c r="E50" s="90">
        <f t="shared" si="3"/>
        <v>44.96110169491526</v>
      </c>
      <c r="F50" s="90">
        <v>294.745</v>
      </c>
      <c r="I50" s="8"/>
      <c r="J50" s="34"/>
      <c r="K50" s="35"/>
      <c r="L50" s="36"/>
      <c r="M50" s="41"/>
    </row>
    <row r="51" spans="1:13" ht="13.5">
      <c r="A51" s="86"/>
      <c r="B51" s="86" t="s">
        <v>133</v>
      </c>
      <c r="C51" s="86" t="s">
        <v>129</v>
      </c>
      <c r="D51" s="89">
        <f t="shared" si="2"/>
        <v>102.62297881355933</v>
      </c>
      <c r="E51" s="90">
        <f t="shared" si="3"/>
        <v>18.47213618644068</v>
      </c>
      <c r="F51" s="90">
        <v>121.09511499999999</v>
      </c>
      <c r="I51" s="8"/>
      <c r="J51" s="34"/>
      <c r="K51" s="35"/>
      <c r="L51" s="36"/>
      <c r="M51" s="41"/>
    </row>
    <row r="52" spans="1:13" s="3" customFormat="1" ht="13.5">
      <c r="A52" s="92"/>
      <c r="B52" s="92" t="s">
        <v>44</v>
      </c>
      <c r="C52" s="92" t="s">
        <v>7</v>
      </c>
      <c r="D52" s="89">
        <f t="shared" si="2"/>
        <v>4266.949152542373</v>
      </c>
      <c r="E52" s="90">
        <f t="shared" si="3"/>
        <v>768.050847457627</v>
      </c>
      <c r="F52" s="90">
        <v>5035</v>
      </c>
      <c r="G52"/>
      <c r="H52"/>
      <c r="I52" s="8"/>
      <c r="J52" s="34"/>
      <c r="K52" s="35"/>
      <c r="L52" s="36"/>
      <c r="M52" s="41"/>
    </row>
    <row r="53" spans="1:13" ht="13.5">
      <c r="A53" s="86"/>
      <c r="B53" s="86" t="s">
        <v>615</v>
      </c>
      <c r="C53" s="86" t="s">
        <v>13</v>
      </c>
      <c r="D53" s="89">
        <f t="shared" si="2"/>
        <v>21.568974432634324</v>
      </c>
      <c r="E53" s="90">
        <f t="shared" si="3"/>
        <v>3.882415397874178</v>
      </c>
      <c r="F53" s="90">
        <v>25.4513898305085</v>
      </c>
      <c r="I53" s="8"/>
      <c r="J53" s="34"/>
      <c r="K53" s="35"/>
      <c r="L53" s="36"/>
      <c r="M53" s="41"/>
    </row>
    <row r="54" spans="1:13" ht="13.5">
      <c r="A54" s="86"/>
      <c r="B54" s="86" t="s">
        <v>76</v>
      </c>
      <c r="C54" s="86" t="s">
        <v>77</v>
      </c>
      <c r="D54" s="89">
        <f t="shared" si="2"/>
        <v>920.0268008474577</v>
      </c>
      <c r="E54" s="90">
        <f t="shared" si="3"/>
        <v>165.6048241525424</v>
      </c>
      <c r="F54" s="90">
        <v>1085.631625</v>
      </c>
      <c r="I54" s="8"/>
      <c r="J54" s="34"/>
      <c r="K54" s="35"/>
      <c r="L54" s="36"/>
      <c r="M54" s="41"/>
    </row>
    <row r="55" spans="1:13" ht="13.5">
      <c r="A55" s="86"/>
      <c r="B55" s="86" t="s">
        <v>91</v>
      </c>
      <c r="C55" s="86" t="s">
        <v>92</v>
      </c>
      <c r="D55" s="89">
        <f t="shared" si="2"/>
        <v>36.059322033898304</v>
      </c>
      <c r="E55" s="90">
        <f t="shared" si="3"/>
        <v>6.4906779661016945</v>
      </c>
      <c r="F55" s="90">
        <v>42.55</v>
      </c>
      <c r="I55" s="8"/>
      <c r="J55" s="34"/>
      <c r="K55" s="35"/>
      <c r="L55" s="36"/>
      <c r="M55" s="41"/>
    </row>
    <row r="56" spans="1:13" ht="13.5">
      <c r="A56" s="86"/>
      <c r="B56" s="86" t="s">
        <v>140</v>
      </c>
      <c r="C56" s="86" t="s">
        <v>122</v>
      </c>
      <c r="D56" s="89">
        <f t="shared" si="2"/>
        <v>243.6440677966102</v>
      </c>
      <c r="E56" s="90">
        <f t="shared" si="3"/>
        <v>43.855932203389834</v>
      </c>
      <c r="F56" s="90">
        <v>287.5</v>
      </c>
      <c r="I56" s="8"/>
      <c r="J56" s="34"/>
      <c r="K56" s="35"/>
      <c r="L56" s="36"/>
      <c r="M56" s="41"/>
    </row>
    <row r="57" spans="1:13" ht="13.5">
      <c r="A57" s="86"/>
      <c r="B57" s="86" t="s">
        <v>232</v>
      </c>
      <c r="C57" s="86" t="s">
        <v>15</v>
      </c>
      <c r="D57" s="89">
        <f t="shared" si="2"/>
        <v>1637.2881355932202</v>
      </c>
      <c r="E57" s="90">
        <f t="shared" si="3"/>
        <v>294.7118644067796</v>
      </c>
      <c r="F57" s="90">
        <v>1931.9999999999998</v>
      </c>
      <c r="I57" s="8"/>
      <c r="J57" s="34"/>
      <c r="K57" s="35"/>
      <c r="L57" s="36"/>
      <c r="M57" s="41"/>
    </row>
    <row r="58" spans="1:13" ht="13.5">
      <c r="A58" s="86"/>
      <c r="B58" s="86" t="s">
        <v>101</v>
      </c>
      <c r="C58" s="86" t="s">
        <v>92</v>
      </c>
      <c r="D58" s="89">
        <f t="shared" si="2"/>
        <v>50.847457627118644</v>
      </c>
      <c r="E58" s="90">
        <f t="shared" si="3"/>
        <v>9.152542372881355</v>
      </c>
      <c r="F58" s="90">
        <v>60</v>
      </c>
      <c r="I58" s="8"/>
      <c r="J58" s="34"/>
      <c r="K58" s="35"/>
      <c r="L58" s="36"/>
      <c r="M58" s="41"/>
    </row>
    <row r="59" spans="1:13" ht="13.5">
      <c r="A59" s="86"/>
      <c r="B59" s="86" t="s">
        <v>155</v>
      </c>
      <c r="C59" s="86" t="s">
        <v>15</v>
      </c>
      <c r="D59" s="89">
        <f t="shared" si="2"/>
        <v>633.8480338983051</v>
      </c>
      <c r="E59" s="90">
        <f t="shared" si="3"/>
        <v>114.09264610169491</v>
      </c>
      <c r="F59" s="90">
        <v>747.9406799999999</v>
      </c>
      <c r="I59" s="8"/>
      <c r="J59" s="34"/>
      <c r="K59" s="35"/>
      <c r="L59" s="36"/>
      <c r="M59" s="41"/>
    </row>
    <row r="60" spans="1:13" ht="13.5">
      <c r="A60" s="86"/>
      <c r="B60" s="86" t="s">
        <v>141</v>
      </c>
      <c r="C60" s="86" t="s">
        <v>15</v>
      </c>
      <c r="D60" s="89">
        <f t="shared" si="2"/>
        <v>2716.4910169491527</v>
      </c>
      <c r="E60" s="90">
        <f t="shared" si="3"/>
        <v>488.9683830508475</v>
      </c>
      <c r="F60" s="90">
        <v>3205.4594</v>
      </c>
      <c r="I60" s="8"/>
      <c r="J60" s="34"/>
      <c r="K60" s="35"/>
      <c r="L60" s="36"/>
      <c r="M60" s="41"/>
    </row>
    <row r="61" spans="1:13" ht="13.5">
      <c r="A61" s="86"/>
      <c r="B61" s="86" t="s">
        <v>142</v>
      </c>
      <c r="C61" s="86" t="s">
        <v>15</v>
      </c>
      <c r="D61" s="89">
        <f t="shared" si="2"/>
        <v>4074.7374999999997</v>
      </c>
      <c r="E61" s="90">
        <f t="shared" si="3"/>
        <v>733.4527499999999</v>
      </c>
      <c r="F61" s="90">
        <v>4808.19025</v>
      </c>
      <c r="I61" s="8"/>
      <c r="J61" s="34"/>
      <c r="K61" s="35"/>
      <c r="L61" s="36"/>
      <c r="M61" s="41"/>
    </row>
    <row r="62" spans="1:13" ht="13.5">
      <c r="A62" s="86"/>
      <c r="B62" s="86" t="s">
        <v>156</v>
      </c>
      <c r="C62" s="86" t="s">
        <v>15</v>
      </c>
      <c r="D62" s="89">
        <f t="shared" si="2"/>
        <v>14.487953389830508</v>
      </c>
      <c r="E62" s="90">
        <f t="shared" si="3"/>
        <v>2.6078316101694914</v>
      </c>
      <c r="F62" s="90">
        <v>17.095785</v>
      </c>
      <c r="I62" s="8"/>
      <c r="J62" s="42"/>
      <c r="K62" s="43"/>
      <c r="L62" s="44"/>
      <c r="M62" s="32"/>
    </row>
    <row r="63" spans="1:13" ht="13.5">
      <c r="A63" s="86"/>
      <c r="B63" s="86" t="s">
        <v>157</v>
      </c>
      <c r="C63" s="86" t="s">
        <v>15</v>
      </c>
      <c r="D63" s="89">
        <f t="shared" si="2"/>
        <v>18.109966101694916</v>
      </c>
      <c r="E63" s="90">
        <f t="shared" si="3"/>
        <v>3.2597938983050847</v>
      </c>
      <c r="F63" s="90">
        <v>21.36976</v>
      </c>
      <c r="I63" s="8"/>
      <c r="J63" s="34"/>
      <c r="K63" s="35"/>
      <c r="L63" s="36"/>
      <c r="M63" s="32"/>
    </row>
    <row r="64" spans="1:13" ht="13.5">
      <c r="A64" s="86"/>
      <c r="B64" s="86" t="s">
        <v>177</v>
      </c>
      <c r="C64" s="86" t="s">
        <v>15</v>
      </c>
      <c r="D64" s="89">
        <f t="shared" si="2"/>
        <v>54.32980084745763</v>
      </c>
      <c r="E64" s="90">
        <f t="shared" si="3"/>
        <v>9.779364152542374</v>
      </c>
      <c r="F64" s="90">
        <v>64.109165</v>
      </c>
      <c r="I64" s="8"/>
      <c r="J64" s="34"/>
      <c r="K64" s="35"/>
      <c r="L64" s="36"/>
      <c r="M64" s="32"/>
    </row>
    <row r="65" spans="1:13" ht="13.5">
      <c r="A65" s="86"/>
      <c r="B65" s="86" t="s">
        <v>172</v>
      </c>
      <c r="C65" s="86" t="s">
        <v>15</v>
      </c>
      <c r="D65" s="89">
        <f t="shared" si="2"/>
        <v>14.487953389830508</v>
      </c>
      <c r="E65" s="90">
        <f t="shared" si="3"/>
        <v>2.6078316101694914</v>
      </c>
      <c r="F65" s="90">
        <v>17.095785</v>
      </c>
      <c r="I65" s="8"/>
      <c r="J65" s="34"/>
      <c r="K65" s="35"/>
      <c r="L65" s="36"/>
      <c r="M65" s="41"/>
    </row>
    <row r="66" spans="1:13" ht="13.5">
      <c r="A66" s="86"/>
      <c r="B66" s="86" t="s">
        <v>178</v>
      </c>
      <c r="C66" s="86" t="s">
        <v>15</v>
      </c>
      <c r="D66" s="89">
        <f t="shared" si="2"/>
        <v>30.183309322033896</v>
      </c>
      <c r="E66" s="90">
        <f t="shared" si="3"/>
        <v>5.432995677966101</v>
      </c>
      <c r="F66" s="90">
        <v>35.616305</v>
      </c>
      <c r="I66" s="8"/>
      <c r="J66" s="34"/>
      <c r="K66" s="35"/>
      <c r="L66" s="36"/>
      <c r="M66" s="32"/>
    </row>
    <row r="67" spans="1:13" ht="13.5">
      <c r="A67" s="86"/>
      <c r="B67" s="86" t="s">
        <v>220</v>
      </c>
      <c r="C67" s="86" t="s">
        <v>32</v>
      </c>
      <c r="D67" s="89">
        <f t="shared" si="2"/>
        <v>237.61122457627118</v>
      </c>
      <c r="E67" s="90">
        <f t="shared" si="3"/>
        <v>42.77002042372881</v>
      </c>
      <c r="F67" s="90">
        <v>280.381245</v>
      </c>
      <c r="I67" s="8"/>
      <c r="J67" s="34"/>
      <c r="K67" s="35"/>
      <c r="L67" s="36"/>
      <c r="M67" s="32"/>
    </row>
    <row r="68" spans="1:13" ht="13.5">
      <c r="A68" s="86"/>
      <c r="B68" s="86" t="s">
        <v>143</v>
      </c>
      <c r="C68" s="86" t="s">
        <v>103</v>
      </c>
      <c r="D68" s="89">
        <f t="shared" si="2"/>
        <v>58.47457627118644</v>
      </c>
      <c r="E68" s="90">
        <f t="shared" si="3"/>
        <v>10.525423728813559</v>
      </c>
      <c r="F68" s="90">
        <v>69</v>
      </c>
      <c r="I68" s="8"/>
      <c r="J68" s="34"/>
      <c r="K68" s="35"/>
      <c r="L68" s="36"/>
      <c r="M68" s="32"/>
    </row>
    <row r="69" spans="1:13" ht="13.5">
      <c r="A69" s="86"/>
      <c r="B69" s="86" t="s">
        <v>225</v>
      </c>
      <c r="C69" s="86" t="s">
        <v>15</v>
      </c>
      <c r="D69" s="89">
        <f t="shared" si="2"/>
        <v>181.0994661016949</v>
      </c>
      <c r="E69" s="90">
        <f t="shared" si="3"/>
        <v>32.597903898305084</v>
      </c>
      <c r="F69" s="90">
        <v>213.69736999999998</v>
      </c>
      <c r="I69" s="8"/>
      <c r="J69" s="34"/>
      <c r="K69" s="35"/>
      <c r="L69" s="36"/>
      <c r="M69" s="32"/>
    </row>
    <row r="70" spans="1:13" ht="13.5">
      <c r="A70" s="86"/>
      <c r="B70" s="86" t="s">
        <v>102</v>
      </c>
      <c r="C70" s="86" t="s">
        <v>103</v>
      </c>
      <c r="D70" s="89">
        <f t="shared" si="2"/>
        <v>36.21983474576271</v>
      </c>
      <c r="E70" s="90">
        <f t="shared" si="3"/>
        <v>6.519570254237288</v>
      </c>
      <c r="F70" s="90">
        <v>42.739405</v>
      </c>
      <c r="I70" s="8"/>
      <c r="J70" s="34"/>
      <c r="K70" s="35"/>
      <c r="L70" s="36"/>
      <c r="M70" s="32"/>
    </row>
    <row r="71" spans="1:13" ht="13.5">
      <c r="A71" s="86"/>
      <c r="B71" s="86" t="s">
        <v>66</v>
      </c>
      <c r="C71" s="86" t="s">
        <v>67</v>
      </c>
      <c r="D71" s="89">
        <f aca="true" t="shared" si="4" ref="D71:D100">F71/1.18</f>
        <v>0.3018262711864406</v>
      </c>
      <c r="E71" s="90">
        <f aca="true" t="shared" si="5" ref="E71:E100">D71*0.18</f>
        <v>0.05432872881355931</v>
      </c>
      <c r="F71" s="90">
        <v>0.35615499999999994</v>
      </c>
      <c r="I71" s="8"/>
      <c r="J71" s="34"/>
      <c r="K71" s="35"/>
      <c r="L71" s="36"/>
      <c r="M71" s="41"/>
    </row>
    <row r="72" spans="1:13" ht="13.5">
      <c r="A72" s="86"/>
      <c r="B72" s="86" t="s">
        <v>158</v>
      </c>
      <c r="C72" s="86" t="s">
        <v>159</v>
      </c>
      <c r="D72" s="89">
        <f t="shared" si="4"/>
        <v>6334.745762711864</v>
      </c>
      <c r="E72" s="90">
        <f t="shared" si="5"/>
        <v>1140.2542372881355</v>
      </c>
      <c r="F72" s="90">
        <v>7474.999999999999</v>
      </c>
      <c r="I72" s="8"/>
      <c r="J72" s="34"/>
      <c r="K72" s="35"/>
      <c r="L72" s="36"/>
      <c r="M72" s="41"/>
    </row>
    <row r="73" spans="1:13" ht="13.5">
      <c r="A73" s="86"/>
      <c r="B73" s="86" t="s">
        <v>191</v>
      </c>
      <c r="C73" s="86" t="s">
        <v>12</v>
      </c>
      <c r="D73" s="89">
        <f t="shared" si="4"/>
        <v>6480.93220338983</v>
      </c>
      <c r="E73" s="90">
        <f t="shared" si="5"/>
        <v>1166.5677966101694</v>
      </c>
      <c r="F73" s="90">
        <v>7647.499999999999</v>
      </c>
      <c r="I73" s="8"/>
      <c r="J73" s="34"/>
      <c r="K73" s="35"/>
      <c r="L73" s="36"/>
      <c r="M73" s="32"/>
    </row>
    <row r="74" spans="1:13" ht="13.5">
      <c r="A74" s="86"/>
      <c r="B74" s="86" t="s">
        <v>238</v>
      </c>
      <c r="C74" s="86" t="s">
        <v>17</v>
      </c>
      <c r="D74" s="89">
        <f t="shared" si="4"/>
        <v>2436.4406779661017</v>
      </c>
      <c r="E74" s="90">
        <f t="shared" si="5"/>
        <v>438.5593220338983</v>
      </c>
      <c r="F74" s="90">
        <v>2875</v>
      </c>
      <c r="I74" s="8"/>
      <c r="J74" s="34"/>
      <c r="K74" s="35"/>
      <c r="L74" s="36"/>
      <c r="M74" s="41"/>
    </row>
    <row r="75" spans="1:13" ht="13.5">
      <c r="A75" s="86"/>
      <c r="B75" s="95" t="s">
        <v>335</v>
      </c>
      <c r="C75" s="86" t="s">
        <v>13</v>
      </c>
      <c r="D75" s="89">
        <f t="shared" si="4"/>
        <v>481.99406779661024</v>
      </c>
      <c r="E75" s="90">
        <f t="shared" si="5"/>
        <v>86.75893220338983</v>
      </c>
      <c r="F75" s="91">
        <v>568.753</v>
      </c>
      <c r="I75" s="8"/>
      <c r="J75" s="34"/>
      <c r="K75" s="35"/>
      <c r="L75" s="36"/>
      <c r="M75" s="41"/>
    </row>
    <row r="76" spans="1:13" ht="13.5">
      <c r="A76" s="86"/>
      <c r="B76" s="95" t="s">
        <v>336</v>
      </c>
      <c r="C76" s="86" t="s">
        <v>67</v>
      </c>
      <c r="D76" s="89">
        <f t="shared" si="4"/>
        <v>511.6525423728814</v>
      </c>
      <c r="E76" s="90">
        <f t="shared" si="5"/>
        <v>92.09745762711864</v>
      </c>
      <c r="F76" s="90">
        <v>603.75</v>
      </c>
      <c r="I76" s="8"/>
      <c r="J76" s="34"/>
      <c r="K76" s="35"/>
      <c r="L76" s="36"/>
      <c r="M76" s="41"/>
    </row>
    <row r="77" spans="1:13" ht="13.5">
      <c r="A77" s="86"/>
      <c r="B77" s="86" t="s">
        <v>19</v>
      </c>
      <c r="C77" s="86" t="s">
        <v>67</v>
      </c>
      <c r="D77" s="89">
        <f t="shared" si="4"/>
        <v>843.2203389830509</v>
      </c>
      <c r="E77" s="90">
        <f t="shared" si="5"/>
        <v>151.77966101694915</v>
      </c>
      <c r="F77" s="90">
        <v>995</v>
      </c>
      <c r="I77" s="8"/>
      <c r="J77" s="34"/>
      <c r="K77" s="35"/>
      <c r="L77" s="36"/>
      <c r="M77" s="41"/>
    </row>
    <row r="78" spans="1:13" ht="13.5">
      <c r="A78" s="86"/>
      <c r="B78" s="86" t="s">
        <v>151</v>
      </c>
      <c r="C78" s="86" t="s">
        <v>67</v>
      </c>
      <c r="D78" s="89">
        <f t="shared" si="4"/>
        <v>872.2457627118645</v>
      </c>
      <c r="E78" s="90">
        <f t="shared" si="5"/>
        <v>157.0042372881356</v>
      </c>
      <c r="F78" s="90">
        <v>1029.25</v>
      </c>
      <c r="I78" s="8"/>
      <c r="J78" s="34"/>
      <c r="K78" s="35"/>
      <c r="L78" s="36"/>
      <c r="M78" s="41"/>
    </row>
    <row r="79" spans="1:13" ht="13.5">
      <c r="A79" s="86"/>
      <c r="B79" s="86" t="s">
        <v>160</v>
      </c>
      <c r="C79" s="86" t="s">
        <v>67</v>
      </c>
      <c r="D79" s="89">
        <f t="shared" si="4"/>
        <v>536.0169491525425</v>
      </c>
      <c r="E79" s="90">
        <f t="shared" si="5"/>
        <v>96.48305084745763</v>
      </c>
      <c r="F79" s="90">
        <v>632.5</v>
      </c>
      <c r="I79" s="8"/>
      <c r="J79" s="34"/>
      <c r="K79" s="35"/>
      <c r="L79" s="36"/>
      <c r="M79" s="41"/>
    </row>
    <row r="80" spans="1:13" ht="13.5">
      <c r="A80" s="86"/>
      <c r="B80" s="86" t="s">
        <v>147</v>
      </c>
      <c r="C80" s="86" t="s">
        <v>67</v>
      </c>
      <c r="D80" s="89">
        <f t="shared" si="4"/>
        <v>305.08474576271186</v>
      </c>
      <c r="E80" s="90">
        <f t="shared" si="5"/>
        <v>54.91525423728813</v>
      </c>
      <c r="F80" s="91">
        <v>360</v>
      </c>
      <c r="I80" s="8"/>
      <c r="J80" s="34"/>
      <c r="K80" s="35"/>
      <c r="L80" s="36"/>
      <c r="M80" s="41"/>
    </row>
    <row r="81" spans="1:13" ht="13.5">
      <c r="A81" s="86"/>
      <c r="B81" s="86" t="s">
        <v>152</v>
      </c>
      <c r="C81" s="86" t="s">
        <v>67</v>
      </c>
      <c r="D81" s="89">
        <f t="shared" si="4"/>
        <v>402.54237288135596</v>
      </c>
      <c r="E81" s="90">
        <f t="shared" si="5"/>
        <v>72.45762711864407</v>
      </c>
      <c r="F81" s="91">
        <v>475</v>
      </c>
      <c r="I81" s="8"/>
      <c r="J81" s="34"/>
      <c r="K81" s="35"/>
      <c r="L81" s="36"/>
      <c r="M81" s="41"/>
    </row>
    <row r="82" spans="1:13" ht="13.5">
      <c r="A82" s="86"/>
      <c r="B82" s="86" t="s">
        <v>148</v>
      </c>
      <c r="C82" s="86" t="s">
        <v>149</v>
      </c>
      <c r="D82" s="89">
        <f t="shared" si="4"/>
        <v>872.2457627118645</v>
      </c>
      <c r="E82" s="90">
        <f t="shared" si="5"/>
        <v>157.0042372881356</v>
      </c>
      <c r="F82" s="90">
        <v>1029.25</v>
      </c>
      <c r="I82" s="8"/>
      <c r="J82" s="34"/>
      <c r="K82" s="35"/>
      <c r="L82" s="36"/>
      <c r="M82" s="41"/>
    </row>
    <row r="83" spans="1:13" ht="13.5">
      <c r="A83" s="86"/>
      <c r="B83" s="86" t="s">
        <v>269</v>
      </c>
      <c r="C83" s="86" t="s">
        <v>8</v>
      </c>
      <c r="D83" s="89">
        <f t="shared" si="4"/>
        <v>490.6991525423729</v>
      </c>
      <c r="E83" s="90">
        <f t="shared" si="5"/>
        <v>88.32584745762712</v>
      </c>
      <c r="F83" s="90">
        <v>579.025</v>
      </c>
      <c r="I83" s="8"/>
      <c r="J83" s="34"/>
      <c r="K83" s="35"/>
      <c r="L83" s="36"/>
      <c r="M83" s="41"/>
    </row>
    <row r="84" spans="1:13" ht="13.5">
      <c r="A84" s="86"/>
      <c r="B84" s="86" t="s">
        <v>270</v>
      </c>
      <c r="C84" s="86" t="s">
        <v>12</v>
      </c>
      <c r="D84" s="89">
        <f t="shared" si="4"/>
        <v>96.53177966101696</v>
      </c>
      <c r="E84" s="90">
        <f t="shared" si="5"/>
        <v>17.37572033898305</v>
      </c>
      <c r="F84" s="90">
        <v>113.9075</v>
      </c>
      <c r="I84" s="8"/>
      <c r="J84" s="34"/>
      <c r="K84" s="35"/>
      <c r="L84" s="36"/>
      <c r="M84" s="41"/>
    </row>
    <row r="85" spans="1:13" ht="13.5">
      <c r="A85" s="86"/>
      <c r="B85" s="86" t="s">
        <v>113</v>
      </c>
      <c r="C85" s="86" t="s">
        <v>65</v>
      </c>
      <c r="D85" s="89">
        <f t="shared" si="4"/>
        <v>560.3813559322034</v>
      </c>
      <c r="E85" s="90">
        <f t="shared" si="5"/>
        <v>100.86864406779661</v>
      </c>
      <c r="F85" s="90">
        <v>661.25</v>
      </c>
      <c r="I85" s="8"/>
      <c r="J85" s="34"/>
      <c r="K85" s="35"/>
      <c r="L85" s="36"/>
      <c r="M85" s="41"/>
    </row>
    <row r="86" spans="1:13" ht="13.5">
      <c r="A86" s="86"/>
      <c r="B86" s="86" t="s">
        <v>499</v>
      </c>
      <c r="C86" s="86" t="s">
        <v>65</v>
      </c>
      <c r="D86" s="89">
        <f>F86/1.18</f>
        <v>306.99152542372883</v>
      </c>
      <c r="E86" s="90">
        <f>D86*0.18</f>
        <v>55.25847457627119</v>
      </c>
      <c r="F86" s="90">
        <v>362.25</v>
      </c>
      <c r="I86" s="8"/>
      <c r="J86" s="34"/>
      <c r="K86" s="35"/>
      <c r="L86" s="36"/>
      <c r="M86" s="41"/>
    </row>
    <row r="87" spans="1:13" ht="13.5">
      <c r="A87" s="86"/>
      <c r="B87" s="86" t="s">
        <v>500</v>
      </c>
      <c r="C87" s="86" t="s">
        <v>8</v>
      </c>
      <c r="D87" s="89">
        <f t="shared" si="4"/>
        <v>522.9661016949153</v>
      </c>
      <c r="E87" s="90">
        <f t="shared" si="5"/>
        <v>94.13389830508476</v>
      </c>
      <c r="F87" s="90">
        <v>617.1</v>
      </c>
      <c r="I87" s="8"/>
      <c r="J87" s="34"/>
      <c r="K87" s="35"/>
      <c r="L87" s="36"/>
      <c r="M87" s="41"/>
    </row>
    <row r="88" spans="1:13" ht="13.5">
      <c r="A88" s="86"/>
      <c r="B88" s="86" t="s">
        <v>198</v>
      </c>
      <c r="C88" s="86" t="s">
        <v>15</v>
      </c>
      <c r="D88" s="89">
        <f t="shared" si="4"/>
        <v>326.4830508474576</v>
      </c>
      <c r="E88" s="90">
        <f t="shared" si="5"/>
        <v>58.76694915254237</v>
      </c>
      <c r="F88" s="90">
        <v>385.24999999999994</v>
      </c>
      <c r="I88" s="8"/>
      <c r="J88" s="34"/>
      <c r="K88" s="35"/>
      <c r="L88" s="36"/>
      <c r="M88" s="41"/>
    </row>
    <row r="89" spans="1:13" ht="13.5">
      <c r="A89" s="86"/>
      <c r="B89" s="86" t="s">
        <v>28</v>
      </c>
      <c r="C89" s="86" t="s">
        <v>21</v>
      </c>
      <c r="D89" s="89">
        <f t="shared" si="4"/>
        <v>1810.9946610169493</v>
      </c>
      <c r="E89" s="90">
        <f t="shared" si="5"/>
        <v>325.9790389830509</v>
      </c>
      <c r="F89" s="90">
        <v>2136.9737</v>
      </c>
      <c r="I89" s="8"/>
      <c r="J89" s="34"/>
      <c r="K89" s="35"/>
      <c r="L89" s="36"/>
      <c r="M89" s="41"/>
    </row>
    <row r="90" spans="1:13" ht="13.5">
      <c r="A90" s="86"/>
      <c r="B90" s="86" t="s">
        <v>162</v>
      </c>
      <c r="C90" s="86" t="s">
        <v>15</v>
      </c>
      <c r="D90" s="89">
        <f t="shared" si="4"/>
        <v>242.9491525423729</v>
      </c>
      <c r="E90" s="90">
        <f t="shared" si="5"/>
        <v>43.73084745762712</v>
      </c>
      <c r="F90" s="94">
        <v>286.68</v>
      </c>
      <c r="I90" s="8"/>
      <c r="J90" s="34"/>
      <c r="K90" s="35"/>
      <c r="L90" s="36"/>
      <c r="M90" s="41"/>
    </row>
    <row r="91" spans="1:13" ht="13.5">
      <c r="A91" s="86"/>
      <c r="B91" s="86" t="s">
        <v>212</v>
      </c>
      <c r="C91" s="86" t="s">
        <v>15</v>
      </c>
      <c r="D91" s="89">
        <f t="shared" si="4"/>
        <v>494</v>
      </c>
      <c r="E91" s="90">
        <f t="shared" si="5"/>
        <v>88.92</v>
      </c>
      <c r="F91" s="94">
        <v>582.92</v>
      </c>
      <c r="I91" s="8"/>
      <c r="J91" s="34"/>
      <c r="K91" s="35"/>
      <c r="L91" s="36"/>
      <c r="M91" s="41"/>
    </row>
    <row r="92" spans="1:13" ht="13.5">
      <c r="A92" s="86"/>
      <c r="B92" s="86" t="s">
        <v>647</v>
      </c>
      <c r="C92" s="86" t="s">
        <v>15</v>
      </c>
      <c r="D92" s="89">
        <f>F92/1.18</f>
        <v>579.5932203389831</v>
      </c>
      <c r="E92" s="90">
        <f>D92*0.18</f>
        <v>104.32677966101696</v>
      </c>
      <c r="F92" s="94">
        <v>683.92</v>
      </c>
      <c r="I92" s="8"/>
      <c r="J92" s="34"/>
      <c r="K92" s="35"/>
      <c r="L92" s="36"/>
      <c r="M92" s="41"/>
    </row>
    <row r="93" spans="1:13" ht="13.5">
      <c r="A93" s="86"/>
      <c r="B93" s="86" t="s">
        <v>163</v>
      </c>
      <c r="C93" s="86" t="s">
        <v>15</v>
      </c>
      <c r="D93" s="89">
        <f t="shared" si="4"/>
        <v>26.56129661016949</v>
      </c>
      <c r="E93" s="90">
        <f t="shared" si="5"/>
        <v>4.781033389830508</v>
      </c>
      <c r="F93" s="90">
        <v>31.342329999999997</v>
      </c>
      <c r="I93" s="8"/>
      <c r="J93" s="34"/>
      <c r="K93" s="35"/>
      <c r="L93" s="36"/>
      <c r="M93" s="41"/>
    </row>
    <row r="94" spans="1:13" ht="13.5">
      <c r="A94" s="86"/>
      <c r="B94" s="86" t="s">
        <v>213</v>
      </c>
      <c r="C94" s="86" t="s">
        <v>15</v>
      </c>
      <c r="D94" s="89">
        <f t="shared" si="4"/>
        <v>90.54973305084745</v>
      </c>
      <c r="E94" s="90">
        <f t="shared" si="5"/>
        <v>16.298951949152542</v>
      </c>
      <c r="F94" s="90">
        <v>106.84868499999999</v>
      </c>
      <c r="I94" s="8"/>
      <c r="J94" s="34"/>
      <c r="K94" s="35"/>
      <c r="L94" s="36"/>
      <c r="M94" s="32"/>
    </row>
    <row r="95" spans="1:13" ht="13.5">
      <c r="A95" s="86"/>
      <c r="B95" s="86" t="s">
        <v>164</v>
      </c>
      <c r="C95" s="86" t="s">
        <v>15</v>
      </c>
      <c r="D95" s="89">
        <f t="shared" si="4"/>
        <v>18.109966101694916</v>
      </c>
      <c r="E95" s="90">
        <f t="shared" si="5"/>
        <v>3.2597938983050847</v>
      </c>
      <c r="F95" s="90">
        <v>21.36976</v>
      </c>
      <c r="I95" s="8"/>
      <c r="J95" s="34"/>
      <c r="K95" s="35"/>
      <c r="L95" s="36"/>
      <c r="M95" s="32"/>
    </row>
    <row r="96" spans="1:13" ht="13.5">
      <c r="A96" s="86"/>
      <c r="B96" s="86" t="s">
        <v>244</v>
      </c>
      <c r="C96" s="86" t="s">
        <v>15</v>
      </c>
      <c r="D96" s="89">
        <f t="shared" si="4"/>
        <v>67.45944067796611</v>
      </c>
      <c r="E96" s="90">
        <f t="shared" si="5"/>
        <v>12.1426993220339</v>
      </c>
      <c r="F96" s="90">
        <f>92.60214-13</f>
        <v>79.60214</v>
      </c>
      <c r="I96" s="8"/>
      <c r="J96" s="34"/>
      <c r="K96" s="35"/>
      <c r="L96" s="36"/>
      <c r="M96" s="41"/>
    </row>
    <row r="97" spans="1:13" ht="13.5">
      <c r="A97" s="86"/>
      <c r="B97" s="86" t="s">
        <v>165</v>
      </c>
      <c r="C97" s="86" t="s">
        <v>15</v>
      </c>
      <c r="D97" s="89">
        <f t="shared" si="4"/>
        <v>53.601694915254235</v>
      </c>
      <c r="E97" s="90">
        <f t="shared" si="5"/>
        <v>9.648305084745761</v>
      </c>
      <c r="F97" s="90">
        <v>63.24999999999999</v>
      </c>
      <c r="I97" s="8"/>
      <c r="J97" s="34"/>
      <c r="K97" s="35"/>
      <c r="L97" s="36"/>
      <c r="M97" s="32"/>
    </row>
    <row r="98" spans="1:13" ht="13.5">
      <c r="A98" s="86"/>
      <c r="B98" s="86" t="s">
        <v>193</v>
      </c>
      <c r="C98" s="86" t="s">
        <v>15</v>
      </c>
      <c r="D98" s="89">
        <f t="shared" si="4"/>
        <v>238.77118644067798</v>
      </c>
      <c r="E98" s="90">
        <f t="shared" si="5"/>
        <v>42.978813559322035</v>
      </c>
      <c r="F98" s="90">
        <v>281.75</v>
      </c>
      <c r="I98" s="8"/>
      <c r="J98" s="34"/>
      <c r="K98" s="35"/>
      <c r="L98" s="36"/>
      <c r="M98" s="41"/>
    </row>
    <row r="99" spans="1:13" ht="13.5">
      <c r="A99" s="86"/>
      <c r="B99" s="86" t="s">
        <v>173</v>
      </c>
      <c r="C99" s="86" t="s">
        <v>15</v>
      </c>
      <c r="D99" s="89">
        <f t="shared" si="4"/>
        <v>292.37288135593224</v>
      </c>
      <c r="E99" s="90">
        <f t="shared" si="5"/>
        <v>52.6271186440678</v>
      </c>
      <c r="F99" s="90">
        <v>345</v>
      </c>
      <c r="I99" s="8"/>
      <c r="J99" s="34"/>
      <c r="K99" s="35"/>
      <c r="L99" s="36"/>
      <c r="M99" s="32"/>
    </row>
    <row r="100" spans="1:13" ht="13.5">
      <c r="A100" s="86"/>
      <c r="B100" s="86" t="s">
        <v>245</v>
      </c>
      <c r="C100" s="86" t="s">
        <v>15</v>
      </c>
      <c r="D100" s="89">
        <f t="shared" si="4"/>
        <v>422.5652584745763</v>
      </c>
      <c r="E100" s="90">
        <f t="shared" si="5"/>
        <v>76.06174652542373</v>
      </c>
      <c r="F100" s="90">
        <v>498.627005</v>
      </c>
      <c r="I100" s="8"/>
      <c r="J100" s="34"/>
      <c r="K100" s="35"/>
      <c r="L100" s="36"/>
      <c r="M100" s="41"/>
    </row>
    <row r="101" spans="1:13" ht="13.5">
      <c r="A101" s="86"/>
      <c r="B101" s="86" t="s">
        <v>239</v>
      </c>
      <c r="C101" s="86" t="s">
        <v>17</v>
      </c>
      <c r="D101" s="89">
        <f aca="true" t="shared" si="6" ref="D101:D129">F101/1.18</f>
        <v>66.40314406779662</v>
      </c>
      <c r="E101" s="90">
        <f aca="true" t="shared" si="7" ref="E101:E129">D101*0.18</f>
        <v>11.95256593220339</v>
      </c>
      <c r="F101" s="90">
        <v>78.35571</v>
      </c>
      <c r="I101" s="8"/>
      <c r="J101" s="34"/>
      <c r="K101" s="35"/>
      <c r="L101" s="36"/>
      <c r="M101" s="41"/>
    </row>
    <row r="102" spans="1:13" ht="13.5">
      <c r="A102" s="86"/>
      <c r="B102" s="86" t="s">
        <v>284</v>
      </c>
      <c r="C102" s="86" t="s">
        <v>15</v>
      </c>
      <c r="D102" s="89">
        <f t="shared" si="6"/>
        <v>6946.7415254237285</v>
      </c>
      <c r="E102" s="90">
        <f t="shared" si="7"/>
        <v>1250.413474576271</v>
      </c>
      <c r="F102" s="90">
        <f>7808.155+389</f>
        <v>8197.154999999999</v>
      </c>
      <c r="I102" s="8"/>
      <c r="J102" s="34"/>
      <c r="K102" s="35"/>
      <c r="L102" s="36"/>
      <c r="M102" s="41"/>
    </row>
    <row r="103" spans="1:13" ht="13.5">
      <c r="A103" s="86"/>
      <c r="B103" s="86" t="s">
        <v>368</v>
      </c>
      <c r="C103" s="86" t="s">
        <v>15</v>
      </c>
      <c r="D103" s="89">
        <f t="shared" si="6"/>
        <v>2682.489830508475</v>
      </c>
      <c r="E103" s="90">
        <f t="shared" si="7"/>
        <v>482.8481694915254</v>
      </c>
      <c r="F103" s="90">
        <f>3390.338-225</f>
        <v>3165.338</v>
      </c>
      <c r="I103" s="8"/>
      <c r="J103" s="34"/>
      <c r="K103" s="35"/>
      <c r="L103" s="36"/>
      <c r="M103" s="41"/>
    </row>
    <row r="104" spans="1:13" ht="13.5">
      <c r="A104" s="86"/>
      <c r="B104" s="86" t="s">
        <v>240</v>
      </c>
      <c r="C104" s="86" t="s">
        <v>17</v>
      </c>
      <c r="D104" s="89">
        <f t="shared" si="6"/>
        <v>1116.7796186440678</v>
      </c>
      <c r="E104" s="90">
        <f t="shared" si="7"/>
        <v>201.0203313559322</v>
      </c>
      <c r="F104" s="90">
        <v>1317.7999499999999</v>
      </c>
      <c r="I104" s="8"/>
      <c r="J104" s="34"/>
      <c r="K104" s="35"/>
      <c r="L104" s="36"/>
      <c r="M104" s="41"/>
    </row>
    <row r="105" spans="1:13" ht="13.5">
      <c r="A105" s="86"/>
      <c r="B105" s="86" t="s">
        <v>367</v>
      </c>
      <c r="C105" s="86" t="s">
        <v>15</v>
      </c>
      <c r="D105" s="89">
        <f t="shared" si="6"/>
        <v>2373.912330508475</v>
      </c>
      <c r="E105" s="90">
        <f t="shared" si="7"/>
        <v>427.3042194915255</v>
      </c>
      <c r="F105" s="90">
        <v>2801.21655</v>
      </c>
      <c r="I105" s="8"/>
      <c r="J105" s="34"/>
      <c r="K105" s="35"/>
      <c r="L105" s="36"/>
      <c r="M105" s="41"/>
    </row>
    <row r="106" spans="1:13" ht="13.5">
      <c r="A106" s="86"/>
      <c r="B106" s="86" t="s">
        <v>189</v>
      </c>
      <c r="C106" s="86" t="s">
        <v>15</v>
      </c>
      <c r="D106" s="89">
        <f t="shared" si="6"/>
        <v>909.8533940677966</v>
      </c>
      <c r="E106" s="90">
        <f t="shared" si="7"/>
        <v>163.77361093220338</v>
      </c>
      <c r="F106" s="90">
        <v>1073.6270049999998</v>
      </c>
      <c r="I106" s="8"/>
      <c r="J106" s="34"/>
      <c r="K106" s="35"/>
      <c r="L106" s="36"/>
      <c r="M106" s="41"/>
    </row>
    <row r="107" spans="1:13" ht="13.5">
      <c r="A107" s="86"/>
      <c r="B107" s="86" t="s">
        <v>166</v>
      </c>
      <c r="C107" s="86" t="s">
        <v>15</v>
      </c>
      <c r="D107" s="89">
        <f t="shared" si="6"/>
        <v>66.40314406779662</v>
      </c>
      <c r="E107" s="90">
        <f t="shared" si="7"/>
        <v>11.95256593220339</v>
      </c>
      <c r="F107" s="90">
        <v>78.35571</v>
      </c>
      <c r="I107" s="8"/>
      <c r="J107" s="34"/>
      <c r="K107" s="35"/>
      <c r="L107" s="36"/>
      <c r="M107" s="41"/>
    </row>
    <row r="108" spans="1:13" ht="13.5">
      <c r="A108" s="86"/>
      <c r="B108" s="96" t="s">
        <v>246</v>
      </c>
      <c r="C108" s="86" t="s">
        <v>15</v>
      </c>
      <c r="D108" s="89">
        <f t="shared" si="6"/>
        <v>181.0994661016949</v>
      </c>
      <c r="E108" s="90">
        <f t="shared" si="7"/>
        <v>32.597903898305084</v>
      </c>
      <c r="F108" s="90">
        <v>213.69736999999998</v>
      </c>
      <c r="I108" s="8"/>
      <c r="J108" s="34"/>
      <c r="K108" s="35"/>
      <c r="L108" s="36"/>
      <c r="M108" s="41"/>
    </row>
    <row r="109" spans="1:13" ht="13.5">
      <c r="A109" s="86"/>
      <c r="B109" s="97" t="s">
        <v>369</v>
      </c>
      <c r="C109" s="86" t="s">
        <v>15</v>
      </c>
      <c r="D109" s="89">
        <f t="shared" si="6"/>
        <v>2394.7457627118647</v>
      </c>
      <c r="E109" s="90">
        <f t="shared" si="7"/>
        <v>431.05423728813565</v>
      </c>
      <c r="F109" s="154">
        <v>2825.8</v>
      </c>
      <c r="I109" s="8"/>
      <c r="J109" s="34"/>
      <c r="K109" s="35"/>
      <c r="L109" s="36"/>
      <c r="M109" s="41"/>
    </row>
    <row r="110" spans="1:13" ht="13.5">
      <c r="A110" s="86"/>
      <c r="B110" s="96" t="s">
        <v>190</v>
      </c>
      <c r="C110" s="86" t="s">
        <v>15</v>
      </c>
      <c r="D110" s="89">
        <f t="shared" si="6"/>
        <v>301.83241101694915</v>
      </c>
      <c r="E110" s="90">
        <f t="shared" si="7"/>
        <v>54.32983398305085</v>
      </c>
      <c r="F110" s="90">
        <v>356.162245</v>
      </c>
      <c r="I110" s="8"/>
      <c r="J110" s="34"/>
      <c r="K110" s="35"/>
      <c r="L110" s="36"/>
      <c r="M110" s="41"/>
    </row>
    <row r="111" spans="1:13" ht="13.5">
      <c r="A111" s="86"/>
      <c r="B111" s="86" t="s">
        <v>256</v>
      </c>
      <c r="C111" s="86" t="s">
        <v>15</v>
      </c>
      <c r="D111" s="89">
        <f t="shared" si="6"/>
        <v>443.43220338983053</v>
      </c>
      <c r="E111" s="90">
        <f t="shared" si="7"/>
        <v>79.8177966101695</v>
      </c>
      <c r="F111" s="90">
        <v>523.25</v>
      </c>
      <c r="I111" s="8"/>
      <c r="J111" s="34"/>
      <c r="K111" s="35"/>
      <c r="L111" s="36"/>
      <c r="M111" s="41"/>
    </row>
    <row r="112" spans="1:13" ht="13.5">
      <c r="A112" s="86"/>
      <c r="B112" s="86" t="s">
        <v>167</v>
      </c>
      <c r="C112" s="86" t="s">
        <v>15</v>
      </c>
      <c r="D112" s="89">
        <f t="shared" si="6"/>
        <v>42.25655508474576</v>
      </c>
      <c r="E112" s="90">
        <f t="shared" si="7"/>
        <v>7.606179915254237</v>
      </c>
      <c r="F112" s="90">
        <v>49.862734999999994</v>
      </c>
      <c r="I112" s="8"/>
      <c r="J112" s="34"/>
      <c r="K112" s="35"/>
      <c r="L112" s="36"/>
      <c r="M112" s="41"/>
    </row>
    <row r="113" spans="1:13" ht="13.5">
      <c r="A113" s="86"/>
      <c r="B113" s="86" t="s">
        <v>168</v>
      </c>
      <c r="C113" s="86" t="s">
        <v>15</v>
      </c>
      <c r="D113" s="89">
        <f t="shared" si="6"/>
        <v>30.183309322033896</v>
      </c>
      <c r="E113" s="90">
        <f t="shared" si="7"/>
        <v>5.432995677966101</v>
      </c>
      <c r="F113" s="90">
        <v>35.616305</v>
      </c>
      <c r="I113" s="8"/>
      <c r="J113" s="34"/>
      <c r="K113" s="35"/>
      <c r="L113" s="36"/>
      <c r="M113" s="41"/>
    </row>
    <row r="114" spans="1:13" ht="13.5">
      <c r="A114" s="86"/>
      <c r="B114" s="86" t="s">
        <v>175</v>
      </c>
      <c r="C114" s="86" t="s">
        <v>15</v>
      </c>
      <c r="D114" s="89">
        <f t="shared" si="6"/>
        <v>27.164949152542373</v>
      </c>
      <c r="E114" s="90">
        <f t="shared" si="7"/>
        <v>4.889690847457627</v>
      </c>
      <c r="F114" s="90">
        <v>32.05464</v>
      </c>
      <c r="I114" s="8"/>
      <c r="J114" s="34"/>
      <c r="K114" s="35"/>
      <c r="L114" s="36"/>
      <c r="M114" s="41"/>
    </row>
    <row r="115" spans="1:13" ht="13.5">
      <c r="A115" s="86"/>
      <c r="B115" s="86" t="s">
        <v>176</v>
      </c>
      <c r="C115" s="86" t="s">
        <v>15</v>
      </c>
      <c r="D115" s="89">
        <f t="shared" si="6"/>
        <v>54.32980084745763</v>
      </c>
      <c r="E115" s="90">
        <f t="shared" si="7"/>
        <v>9.779364152542374</v>
      </c>
      <c r="F115" s="90">
        <v>64.109165</v>
      </c>
      <c r="I115" s="8"/>
      <c r="J115" s="34"/>
      <c r="K115" s="35"/>
      <c r="L115" s="36"/>
      <c r="M115" s="41"/>
    </row>
    <row r="116" spans="1:13" ht="13.5">
      <c r="A116" s="86"/>
      <c r="B116" s="86" t="s">
        <v>174</v>
      </c>
      <c r="C116" s="86" t="s">
        <v>15</v>
      </c>
      <c r="D116" s="89">
        <f t="shared" si="6"/>
        <v>18.109966101694916</v>
      </c>
      <c r="E116" s="90">
        <f t="shared" si="7"/>
        <v>3.2597938983050847</v>
      </c>
      <c r="F116" s="90">
        <v>21.36976</v>
      </c>
      <c r="I116" s="8"/>
      <c r="J116" s="45"/>
      <c r="K116" s="38"/>
      <c r="L116" s="46"/>
      <c r="M116" s="41"/>
    </row>
    <row r="117" spans="1:13" ht="13.5">
      <c r="A117" s="86"/>
      <c r="B117" s="86" t="s">
        <v>194</v>
      </c>
      <c r="C117" s="86" t="s">
        <v>15</v>
      </c>
      <c r="D117" s="89">
        <f t="shared" si="6"/>
        <v>3288.5508898305084</v>
      </c>
      <c r="E117" s="90">
        <f t="shared" si="7"/>
        <v>591.9391601694915</v>
      </c>
      <c r="F117" s="90">
        <v>3880.49005</v>
      </c>
      <c r="I117" s="8"/>
      <c r="J117" s="34"/>
      <c r="K117" s="35"/>
      <c r="L117" s="36"/>
      <c r="M117" s="41"/>
    </row>
    <row r="118" spans="1:13" ht="13.5">
      <c r="A118" s="86"/>
      <c r="B118" s="86" t="s">
        <v>169</v>
      </c>
      <c r="C118" s="86" t="s">
        <v>15</v>
      </c>
      <c r="D118" s="89">
        <f t="shared" si="6"/>
        <v>54.32980084745763</v>
      </c>
      <c r="E118" s="90">
        <f t="shared" si="7"/>
        <v>9.779364152542374</v>
      </c>
      <c r="F118" s="90">
        <v>64.109165</v>
      </c>
      <c r="I118" s="8"/>
      <c r="J118" s="34"/>
      <c r="K118" s="35"/>
      <c r="L118" s="36"/>
      <c r="M118" s="41"/>
    </row>
    <row r="119" spans="1:13" ht="13.5">
      <c r="A119" s="86"/>
      <c r="B119" s="86" t="s">
        <v>195</v>
      </c>
      <c r="C119" s="86" t="s">
        <v>15</v>
      </c>
      <c r="D119" s="89">
        <f t="shared" si="6"/>
        <v>96.5864533898305</v>
      </c>
      <c r="E119" s="90">
        <f t="shared" si="7"/>
        <v>17.38556161016949</v>
      </c>
      <c r="F119" s="90">
        <v>113.97201499999998</v>
      </c>
      <c r="I119" s="8"/>
      <c r="J119" s="34"/>
      <c r="K119" s="35"/>
      <c r="L119" s="36"/>
      <c r="M119" s="41"/>
    </row>
    <row r="120" spans="1:13" ht="13.5">
      <c r="A120" s="86"/>
      <c r="B120" s="86" t="s">
        <v>199</v>
      </c>
      <c r="C120" s="86" t="s">
        <v>15</v>
      </c>
      <c r="D120" s="89">
        <f t="shared" si="6"/>
        <v>78.47638983050847</v>
      </c>
      <c r="E120" s="90">
        <f t="shared" si="7"/>
        <v>14.125750169491523</v>
      </c>
      <c r="F120" s="90">
        <v>92.60213999999999</v>
      </c>
      <c r="I120" s="8"/>
      <c r="J120" s="45"/>
      <c r="K120" s="38"/>
      <c r="L120" s="46"/>
      <c r="M120" s="41"/>
    </row>
    <row r="121" spans="1:13" ht="13.5">
      <c r="A121" s="86"/>
      <c r="B121" s="86" t="s">
        <v>186</v>
      </c>
      <c r="C121" s="86" t="s">
        <v>15</v>
      </c>
      <c r="D121" s="89">
        <f t="shared" si="6"/>
        <v>42.25655508474576</v>
      </c>
      <c r="E121" s="90">
        <f t="shared" si="7"/>
        <v>7.606179915254237</v>
      </c>
      <c r="F121" s="90">
        <v>49.862734999999994</v>
      </c>
      <c r="I121" s="8"/>
      <c r="J121" s="34"/>
      <c r="K121" s="35"/>
      <c r="L121" s="36"/>
      <c r="M121" s="41"/>
    </row>
    <row r="122" spans="1:13" ht="13.5">
      <c r="A122" s="86"/>
      <c r="B122" s="86" t="s">
        <v>200</v>
      </c>
      <c r="C122" s="86" t="s">
        <v>15</v>
      </c>
      <c r="D122" s="89">
        <f t="shared" si="6"/>
        <v>30.183309322033896</v>
      </c>
      <c r="E122" s="90">
        <f t="shared" si="7"/>
        <v>5.432995677966101</v>
      </c>
      <c r="F122" s="90">
        <v>35.616305</v>
      </c>
      <c r="I122" s="8"/>
      <c r="J122" s="34"/>
      <c r="K122" s="35"/>
      <c r="L122" s="36"/>
      <c r="M122" s="41"/>
    </row>
    <row r="123" spans="1:13" s="2" customFormat="1" ht="13.5">
      <c r="A123" s="98"/>
      <c r="B123" s="98" t="s">
        <v>247</v>
      </c>
      <c r="C123" s="98" t="s">
        <v>15</v>
      </c>
      <c r="D123" s="89">
        <f t="shared" si="6"/>
        <v>452.74856779661013</v>
      </c>
      <c r="E123" s="90">
        <f t="shared" si="7"/>
        <v>81.49474220338982</v>
      </c>
      <c r="F123" s="90">
        <v>534.24331</v>
      </c>
      <c r="G123"/>
      <c r="H123"/>
      <c r="I123" s="8"/>
      <c r="J123" s="34"/>
      <c r="K123" s="35"/>
      <c r="L123" s="36"/>
      <c r="M123" s="41"/>
    </row>
    <row r="124" spans="1:13" ht="13.5">
      <c r="A124" s="86"/>
      <c r="B124" s="86" t="s">
        <v>170</v>
      </c>
      <c r="C124" s="86" t="s">
        <v>15</v>
      </c>
      <c r="D124" s="89">
        <f t="shared" si="6"/>
        <v>96.5864533898305</v>
      </c>
      <c r="E124" s="90">
        <f t="shared" si="7"/>
        <v>17.38556161016949</v>
      </c>
      <c r="F124" s="90">
        <v>113.97201499999998</v>
      </c>
      <c r="I124" s="8"/>
      <c r="J124" s="36"/>
      <c r="K124" s="35"/>
      <c r="L124" s="36"/>
      <c r="M124" s="41"/>
    </row>
    <row r="125" spans="1:13" ht="13.5">
      <c r="A125" s="86"/>
      <c r="B125" s="99" t="s">
        <v>288</v>
      </c>
      <c r="C125" s="86" t="s">
        <v>15</v>
      </c>
      <c r="D125" s="100">
        <v>23.35</v>
      </c>
      <c r="E125" s="90">
        <f t="shared" si="7"/>
        <v>4.203</v>
      </c>
      <c r="F125" s="90">
        <v>27.553</v>
      </c>
      <c r="I125" s="8"/>
      <c r="J125" s="36"/>
      <c r="K125" s="35"/>
      <c r="L125" s="36"/>
      <c r="M125" s="41"/>
    </row>
    <row r="126" spans="1:13" ht="13.5">
      <c r="A126" s="86"/>
      <c r="B126" s="99" t="s">
        <v>289</v>
      </c>
      <c r="C126" s="86" t="s">
        <v>15</v>
      </c>
      <c r="D126" s="100">
        <v>65.46</v>
      </c>
      <c r="E126" s="90">
        <f t="shared" si="7"/>
        <v>11.782799999999998</v>
      </c>
      <c r="F126" s="90">
        <v>77.24279999999999</v>
      </c>
      <c r="I126" s="8"/>
      <c r="J126" s="36"/>
      <c r="K126" s="35"/>
      <c r="L126" s="36"/>
      <c r="M126" s="41"/>
    </row>
    <row r="127" spans="1:13" ht="13.5">
      <c r="A127" s="86"/>
      <c r="B127" s="99" t="s">
        <v>290</v>
      </c>
      <c r="C127" s="86" t="s">
        <v>15</v>
      </c>
      <c r="D127" s="100">
        <v>100.29</v>
      </c>
      <c r="E127" s="90">
        <f t="shared" si="7"/>
        <v>18.0522</v>
      </c>
      <c r="F127" s="90">
        <v>118.3422</v>
      </c>
      <c r="I127" s="8"/>
      <c r="J127" s="36"/>
      <c r="K127" s="35"/>
      <c r="L127" s="36"/>
      <c r="M127" s="41"/>
    </row>
    <row r="128" spans="1:13" ht="13.5">
      <c r="A128" s="86"/>
      <c r="B128" s="86" t="s">
        <v>183</v>
      </c>
      <c r="C128" s="86" t="s">
        <v>15</v>
      </c>
      <c r="D128" s="89">
        <f t="shared" si="6"/>
        <v>784.7641906779661</v>
      </c>
      <c r="E128" s="90">
        <f t="shared" si="7"/>
        <v>141.25755432203388</v>
      </c>
      <c r="F128" s="90">
        <v>926.021745</v>
      </c>
      <c r="I128" s="8"/>
      <c r="J128" s="36"/>
      <c r="K128" s="35"/>
      <c r="L128" s="36"/>
      <c r="M128" s="41"/>
    </row>
    <row r="129" spans="1:13" ht="13.5">
      <c r="A129" s="86"/>
      <c r="B129" s="86" t="s">
        <v>196</v>
      </c>
      <c r="C129" s="86" t="s">
        <v>15</v>
      </c>
      <c r="D129" s="89">
        <f t="shared" si="6"/>
        <v>144.87953389830508</v>
      </c>
      <c r="E129" s="90">
        <f t="shared" si="7"/>
        <v>26.078316101694913</v>
      </c>
      <c r="F129" s="90">
        <v>170.95784999999998</v>
      </c>
      <c r="I129" s="8"/>
      <c r="J129" s="36"/>
      <c r="K129" s="35"/>
      <c r="L129" s="36"/>
      <c r="M129" s="41"/>
    </row>
    <row r="130" spans="1:13" s="2" customFormat="1" ht="13.5">
      <c r="A130" s="98"/>
      <c r="B130" s="98" t="s">
        <v>214</v>
      </c>
      <c r="C130" s="98" t="s">
        <v>15</v>
      </c>
      <c r="D130" s="89">
        <f aca="true" t="shared" si="8" ref="D130:D140">F130/1.18</f>
        <v>108.65969915254236</v>
      </c>
      <c r="E130" s="90">
        <f aca="true" t="shared" si="9" ref="E130:E138">D130*0.18</f>
        <v>19.558745847457622</v>
      </c>
      <c r="F130" s="90">
        <v>128.21844499999997</v>
      </c>
      <c r="G130"/>
      <c r="H130"/>
      <c r="I130" s="8"/>
      <c r="J130" s="36"/>
      <c r="K130" s="35"/>
      <c r="L130" s="36"/>
      <c r="M130" s="41"/>
    </row>
    <row r="131" spans="1:13" ht="13.5">
      <c r="A131" s="86"/>
      <c r="B131" s="86" t="s">
        <v>171</v>
      </c>
      <c r="C131" s="86" t="s">
        <v>15</v>
      </c>
      <c r="D131" s="89">
        <f t="shared" si="8"/>
        <v>6.036720338983051</v>
      </c>
      <c r="E131" s="90">
        <f t="shared" si="9"/>
        <v>1.0866096610169491</v>
      </c>
      <c r="F131" s="90">
        <v>7.12333</v>
      </c>
      <c r="I131" s="8"/>
      <c r="J131" s="36"/>
      <c r="K131" s="35"/>
      <c r="L131" s="36"/>
      <c r="M131" s="41"/>
    </row>
    <row r="132" spans="1:13" ht="13.5">
      <c r="A132" s="86"/>
      <c r="B132" s="86" t="s">
        <v>201</v>
      </c>
      <c r="C132" s="86" t="s">
        <v>15</v>
      </c>
      <c r="D132" s="89">
        <f t="shared" si="8"/>
        <v>1720.4448305084745</v>
      </c>
      <c r="E132" s="90">
        <f t="shared" si="9"/>
        <v>309.6800694915254</v>
      </c>
      <c r="F132" s="90">
        <v>2030.1248999999998</v>
      </c>
      <c r="I132" s="8"/>
      <c r="J132" s="36"/>
      <c r="K132" s="35"/>
      <c r="L132" s="36"/>
      <c r="M132" s="41"/>
    </row>
    <row r="133" spans="1:13" ht="13.5">
      <c r="A133" s="86"/>
      <c r="B133" s="86" t="s">
        <v>226</v>
      </c>
      <c r="C133" s="86" t="s">
        <v>8</v>
      </c>
      <c r="D133" s="89">
        <f t="shared" si="8"/>
        <v>18.555249999999997</v>
      </c>
      <c r="E133" s="90">
        <f t="shared" si="9"/>
        <v>3.3399449999999993</v>
      </c>
      <c r="F133" s="90">
        <v>21.895194999999998</v>
      </c>
      <c r="I133" s="8"/>
      <c r="J133" s="36"/>
      <c r="K133" s="35"/>
      <c r="L133" s="36"/>
      <c r="M133" s="41"/>
    </row>
    <row r="134" spans="1:13" ht="13.5">
      <c r="A134" s="86"/>
      <c r="B134" s="86" t="s">
        <v>258</v>
      </c>
      <c r="C134" s="86" t="s">
        <v>13</v>
      </c>
      <c r="D134" s="89">
        <f t="shared" si="8"/>
        <v>3873.9406779661017</v>
      </c>
      <c r="E134" s="90">
        <f t="shared" si="9"/>
        <v>697.3093220338983</v>
      </c>
      <c r="F134" s="90">
        <v>4571.25</v>
      </c>
      <c r="I134" s="8"/>
      <c r="J134" s="36"/>
      <c r="K134" s="35"/>
      <c r="L134" s="36"/>
      <c r="M134" s="47"/>
    </row>
    <row r="135" spans="1:13" ht="13.5">
      <c r="A135" s="86"/>
      <c r="B135" s="86" t="s">
        <v>257</v>
      </c>
      <c r="C135" s="86" t="s">
        <v>8</v>
      </c>
      <c r="D135" s="89">
        <f t="shared" si="8"/>
        <v>4629.237288135593</v>
      </c>
      <c r="E135" s="90">
        <f t="shared" si="9"/>
        <v>833.2627118644067</v>
      </c>
      <c r="F135" s="90">
        <v>5462.5</v>
      </c>
      <c r="I135" s="8"/>
      <c r="J135" s="36"/>
      <c r="K135" s="35"/>
      <c r="L135" s="36"/>
      <c r="M135" s="47"/>
    </row>
    <row r="136" spans="1:13" ht="13.5">
      <c r="A136" s="86"/>
      <c r="B136" s="86" t="s">
        <v>259</v>
      </c>
      <c r="C136" s="96" t="s">
        <v>8</v>
      </c>
      <c r="D136" s="89">
        <f t="shared" si="8"/>
        <v>3776.483050847458</v>
      </c>
      <c r="E136" s="90">
        <f t="shared" si="9"/>
        <v>679.7669491525423</v>
      </c>
      <c r="F136" s="90">
        <v>4456.25</v>
      </c>
      <c r="I136" s="8"/>
      <c r="J136" s="36"/>
      <c r="K136" s="35"/>
      <c r="L136" s="36"/>
      <c r="M136" s="47"/>
    </row>
    <row r="137" spans="1:13" ht="13.5">
      <c r="A137" s="86"/>
      <c r="B137" s="99" t="s">
        <v>326</v>
      </c>
      <c r="C137" s="101" t="s">
        <v>285</v>
      </c>
      <c r="D137" s="89">
        <f t="shared" si="8"/>
        <v>1564.52</v>
      </c>
      <c r="E137" s="90">
        <f t="shared" si="9"/>
        <v>281.61359999999996</v>
      </c>
      <c r="F137" s="90">
        <v>1846.1336</v>
      </c>
      <c r="J137" s="36"/>
      <c r="K137" s="35"/>
      <c r="L137" s="36"/>
      <c r="M137" s="47"/>
    </row>
    <row r="138" spans="1:13" ht="13.5">
      <c r="A138" s="86"/>
      <c r="B138" s="99" t="s">
        <v>327</v>
      </c>
      <c r="C138" s="101" t="s">
        <v>285</v>
      </c>
      <c r="D138" s="89">
        <f t="shared" si="8"/>
        <v>3211.3025000000002</v>
      </c>
      <c r="E138" s="90">
        <f t="shared" si="9"/>
        <v>578.03445</v>
      </c>
      <c r="F138" s="90">
        <v>3789.33695</v>
      </c>
      <c r="J138" s="36"/>
      <c r="K138" s="35"/>
      <c r="L138" s="36"/>
      <c r="M138" s="47"/>
    </row>
    <row r="139" spans="1:13" ht="13.5">
      <c r="A139" s="86"/>
      <c r="B139" s="86" t="s">
        <v>377</v>
      </c>
      <c r="C139" s="96" t="s">
        <v>13</v>
      </c>
      <c r="D139" s="89">
        <f t="shared" si="8"/>
        <v>3292.3728813559323</v>
      </c>
      <c r="E139" s="90">
        <f>D139*0.18</f>
        <v>592.6271186440678</v>
      </c>
      <c r="F139" s="91">
        <v>3885</v>
      </c>
      <c r="J139" s="36"/>
      <c r="K139" s="35"/>
      <c r="L139" s="36"/>
      <c r="M139" s="47"/>
    </row>
    <row r="140" spans="1:13" ht="13.5">
      <c r="A140" s="86"/>
      <c r="B140" s="86" t="s">
        <v>257</v>
      </c>
      <c r="C140" s="96" t="s">
        <v>8</v>
      </c>
      <c r="D140" s="89">
        <f t="shared" si="8"/>
        <v>3521.1864406779664</v>
      </c>
      <c r="E140" s="90">
        <f>D140*0.18</f>
        <v>633.8135593220339</v>
      </c>
      <c r="F140" s="91">
        <v>4155</v>
      </c>
      <c r="J140" s="36"/>
      <c r="K140" s="35"/>
      <c r="L140" s="36"/>
      <c r="M140" s="47"/>
    </row>
    <row r="141" spans="1:13" ht="13.5">
      <c r="A141" s="86"/>
      <c r="B141" s="86"/>
      <c r="C141" s="86"/>
      <c r="D141" s="89"/>
      <c r="E141" s="90"/>
      <c r="F141" s="90"/>
      <c r="J141" s="36"/>
      <c r="K141" s="35"/>
      <c r="L141" s="36"/>
      <c r="M141" s="47"/>
    </row>
    <row r="142" spans="1:13" ht="13.5">
      <c r="A142" s="86"/>
      <c r="B142" s="102" t="s">
        <v>254</v>
      </c>
      <c r="C142" s="102"/>
      <c r="D142" s="102"/>
      <c r="E142" s="102"/>
      <c r="F142" s="103"/>
      <c r="J142" s="36"/>
      <c r="K142" s="35"/>
      <c r="L142" s="36"/>
      <c r="M142" s="47"/>
    </row>
    <row r="143" spans="1:13" ht="12" customHeight="1">
      <c r="A143" s="86"/>
      <c r="B143" s="86" t="s">
        <v>207</v>
      </c>
      <c r="C143" s="86" t="s">
        <v>15</v>
      </c>
      <c r="D143" s="89"/>
      <c r="E143" s="90"/>
      <c r="F143" s="90">
        <v>1.7249999999999999</v>
      </c>
      <c r="H143" s="50"/>
      <c r="I143" s="51"/>
      <c r="J143" s="50"/>
      <c r="K143" s="52"/>
      <c r="L143" s="52"/>
      <c r="M143" s="47"/>
    </row>
    <row r="144" spans="1:13" ht="12" customHeight="1">
      <c r="A144" s="86"/>
      <c r="B144" s="86" t="s">
        <v>69</v>
      </c>
      <c r="C144" s="86" t="s">
        <v>17</v>
      </c>
      <c r="D144" s="89"/>
      <c r="E144" s="90"/>
      <c r="F144" s="90">
        <v>7.8822149999999995</v>
      </c>
      <c r="G144" s="16"/>
      <c r="H144" s="50"/>
      <c r="I144" s="51"/>
      <c r="J144" s="50"/>
      <c r="K144" s="52"/>
      <c r="L144" s="52"/>
      <c r="M144" s="47"/>
    </row>
    <row r="145" spans="1:13" ht="12" customHeight="1">
      <c r="A145" s="86"/>
      <c r="B145" s="86" t="s">
        <v>74</v>
      </c>
      <c r="C145" s="86" t="s">
        <v>73</v>
      </c>
      <c r="D145" s="89"/>
      <c r="E145" s="90"/>
      <c r="F145" s="90">
        <v>956.1675</v>
      </c>
      <c r="G145" s="16"/>
      <c r="H145" s="50"/>
      <c r="I145" s="51"/>
      <c r="J145" s="50"/>
      <c r="K145" s="52"/>
      <c r="L145" s="52"/>
      <c r="M145" s="47"/>
    </row>
    <row r="146" spans="1:13" ht="12" customHeight="1">
      <c r="A146" s="86"/>
      <c r="B146" s="86" t="s">
        <v>207</v>
      </c>
      <c r="C146" s="86" t="s">
        <v>15</v>
      </c>
      <c r="D146" s="89"/>
      <c r="E146" s="90"/>
      <c r="F146" s="90">
        <v>1.4375</v>
      </c>
      <c r="G146" s="16"/>
      <c r="H146" s="50"/>
      <c r="I146" s="51"/>
      <c r="J146" s="50"/>
      <c r="K146" s="52"/>
      <c r="L146" s="52"/>
      <c r="M146" s="47"/>
    </row>
    <row r="147" spans="1:13" ht="12" customHeight="1">
      <c r="A147" s="86"/>
      <c r="B147" s="86" t="s">
        <v>204</v>
      </c>
      <c r="C147" s="86" t="s">
        <v>7</v>
      </c>
      <c r="D147" s="89"/>
      <c r="E147" s="90"/>
      <c r="F147" s="90">
        <v>414.59</v>
      </c>
      <c r="G147" s="16"/>
      <c r="H147" s="50"/>
      <c r="I147" s="51"/>
      <c r="J147" s="50"/>
      <c r="K147" s="52"/>
      <c r="L147" s="52"/>
      <c r="M147" s="47"/>
    </row>
    <row r="148" spans="1:13" ht="12" customHeight="1">
      <c r="A148" s="86"/>
      <c r="B148" s="86" t="s">
        <v>79</v>
      </c>
      <c r="C148" s="86" t="s">
        <v>73</v>
      </c>
      <c r="D148" s="89"/>
      <c r="E148" s="90"/>
      <c r="F148" s="90">
        <v>572.6424999999999</v>
      </c>
      <c r="G148" s="16"/>
      <c r="H148" s="50"/>
      <c r="I148" s="51"/>
      <c r="J148" s="50"/>
      <c r="K148" s="52"/>
      <c r="L148" s="52"/>
      <c r="M148" s="32"/>
    </row>
    <row r="149" spans="1:13" ht="12" customHeight="1">
      <c r="A149" s="86"/>
      <c r="B149" s="86" t="s">
        <v>72</v>
      </c>
      <c r="C149" s="86" t="s">
        <v>73</v>
      </c>
      <c r="D149" s="89"/>
      <c r="E149" s="90"/>
      <c r="F149" s="90">
        <v>736.6324999999999</v>
      </c>
      <c r="G149" s="16"/>
      <c r="H149" s="50"/>
      <c r="I149" s="51"/>
      <c r="J149" s="50"/>
      <c r="K149" s="52"/>
      <c r="L149" s="52"/>
      <c r="M149" s="32"/>
    </row>
    <row r="150" spans="1:13" ht="12" customHeight="1">
      <c r="A150" s="86"/>
      <c r="B150" s="86" t="s">
        <v>75</v>
      </c>
      <c r="C150" s="86" t="s">
        <v>73</v>
      </c>
      <c r="D150" s="89"/>
      <c r="E150" s="90"/>
      <c r="F150" s="90">
        <v>1719.2499999999998</v>
      </c>
      <c r="G150" s="16"/>
      <c r="H150" s="50"/>
      <c r="I150" s="51"/>
      <c r="J150" s="50"/>
      <c r="K150" s="52"/>
      <c r="L150" s="52"/>
      <c r="M150" s="47"/>
    </row>
    <row r="151" spans="1:13" ht="12.75" customHeight="1">
      <c r="A151" s="86"/>
      <c r="B151" s="86" t="s">
        <v>87</v>
      </c>
      <c r="C151" s="86" t="s">
        <v>15</v>
      </c>
      <c r="D151" s="89"/>
      <c r="E151" s="90"/>
      <c r="F151" s="94">
        <v>17.74</v>
      </c>
      <c r="H151" s="50"/>
      <c r="I151" s="51"/>
      <c r="J151" s="50"/>
      <c r="K151" s="52"/>
      <c r="L151" s="53"/>
      <c r="M151" s="48"/>
    </row>
    <row r="152" spans="1:13" ht="13.5">
      <c r="A152" s="86"/>
      <c r="B152" s="86" t="s">
        <v>93</v>
      </c>
      <c r="C152" s="86" t="s">
        <v>15</v>
      </c>
      <c r="D152" s="89"/>
      <c r="E152" s="90"/>
      <c r="F152" s="94">
        <v>16.39</v>
      </c>
      <c r="H152" s="50"/>
      <c r="I152" s="51"/>
      <c r="J152" s="50"/>
      <c r="K152" s="52"/>
      <c r="L152" s="53"/>
      <c r="M152" s="41"/>
    </row>
    <row r="153" spans="1:13" ht="13.5">
      <c r="A153" s="86"/>
      <c r="B153" s="86" t="s">
        <v>96</v>
      </c>
      <c r="C153" s="86" t="s">
        <v>15</v>
      </c>
      <c r="D153" s="89"/>
      <c r="E153" s="90"/>
      <c r="F153" s="94">
        <v>16.39</v>
      </c>
      <c r="H153" s="50"/>
      <c r="I153" s="51"/>
      <c r="J153" s="50"/>
      <c r="K153" s="52"/>
      <c r="L153" s="53"/>
      <c r="M153" s="41"/>
    </row>
    <row r="154" spans="1:13" ht="13.5">
      <c r="A154" s="86"/>
      <c r="B154" s="86" t="s">
        <v>94</v>
      </c>
      <c r="C154" s="86" t="s">
        <v>13</v>
      </c>
      <c r="D154" s="89"/>
      <c r="E154" s="90"/>
      <c r="F154" s="90">
        <v>10.924999999999999</v>
      </c>
      <c r="H154" s="50"/>
      <c r="I154" s="51"/>
      <c r="J154" s="50"/>
      <c r="K154" s="52"/>
      <c r="L154" s="52"/>
      <c r="M154" s="41"/>
    </row>
    <row r="155" spans="1:13" ht="13.5">
      <c r="A155" s="86"/>
      <c r="B155" s="86" t="s">
        <v>100</v>
      </c>
      <c r="C155" s="86" t="s">
        <v>8</v>
      </c>
      <c r="D155" s="89"/>
      <c r="E155" s="90"/>
      <c r="F155" s="94">
        <v>28.24</v>
      </c>
      <c r="H155" s="54"/>
      <c r="I155" s="51"/>
      <c r="J155" s="50"/>
      <c r="K155" s="52"/>
      <c r="L155" s="55"/>
      <c r="M155" s="41"/>
    </row>
    <row r="156" spans="1:13" ht="13.5">
      <c r="A156" s="86"/>
      <c r="B156" s="104" t="s">
        <v>345</v>
      </c>
      <c r="C156" s="86" t="s">
        <v>8</v>
      </c>
      <c r="D156" s="105"/>
      <c r="E156" s="90"/>
      <c r="F156" s="90">
        <v>99.5</v>
      </c>
      <c r="H156" s="50"/>
      <c r="I156" s="51"/>
      <c r="J156" s="50"/>
      <c r="K156" s="52"/>
      <c r="L156" s="55"/>
      <c r="M156" s="41"/>
    </row>
    <row r="157" spans="1:13" ht="13.5">
      <c r="A157" s="86"/>
      <c r="B157" s="86" t="s">
        <v>9</v>
      </c>
      <c r="C157" s="86" t="s">
        <v>8</v>
      </c>
      <c r="D157" s="89"/>
      <c r="E157" s="90"/>
      <c r="F157" s="94">
        <v>118.79</v>
      </c>
      <c r="H157" s="50"/>
      <c r="I157" s="51"/>
      <c r="J157" s="50"/>
      <c r="K157" s="52"/>
      <c r="L157" s="55"/>
      <c r="M157" s="41"/>
    </row>
    <row r="158" spans="1:13" ht="13.5">
      <c r="A158" s="86"/>
      <c r="B158" s="86" t="s">
        <v>104</v>
      </c>
      <c r="C158" s="86" t="s">
        <v>8</v>
      </c>
      <c r="D158" s="89"/>
      <c r="E158" s="90"/>
      <c r="F158" s="94">
        <v>154</v>
      </c>
      <c r="H158" s="50"/>
      <c r="I158" s="51"/>
      <c r="J158" s="50"/>
      <c r="K158" s="52"/>
      <c r="L158" s="52"/>
      <c r="M158" s="41"/>
    </row>
    <row r="159" spans="1:13" ht="13.5">
      <c r="A159" s="86"/>
      <c r="B159" s="86" t="s">
        <v>105</v>
      </c>
      <c r="C159" s="86" t="s">
        <v>8</v>
      </c>
      <c r="D159" s="89"/>
      <c r="E159" s="90"/>
      <c r="F159" s="94">
        <v>129.73</v>
      </c>
      <c r="H159" s="50"/>
      <c r="I159" s="51"/>
      <c r="J159" s="50"/>
      <c r="K159" s="52"/>
      <c r="L159" s="55"/>
      <c r="M159" s="41"/>
    </row>
    <row r="160" spans="1:13" ht="13.5">
      <c r="A160" s="86"/>
      <c r="B160" s="86" t="s">
        <v>27</v>
      </c>
      <c r="C160" s="86" t="s">
        <v>12</v>
      </c>
      <c r="D160" s="89"/>
      <c r="E160" s="90"/>
      <c r="F160" s="90">
        <v>82.60449999999999</v>
      </c>
      <c r="H160" s="56"/>
      <c r="I160" s="57"/>
      <c r="J160" s="58"/>
      <c r="K160" s="59"/>
      <c r="L160" s="55"/>
      <c r="M160" s="41"/>
    </row>
    <row r="161" spans="1:13" ht="13.5">
      <c r="A161" s="86"/>
      <c r="B161" s="86" t="s">
        <v>107</v>
      </c>
      <c r="C161" s="86" t="s">
        <v>12</v>
      </c>
      <c r="D161" s="89"/>
      <c r="E161" s="90"/>
      <c r="F161" s="94">
        <v>51.74</v>
      </c>
      <c r="H161" s="60"/>
      <c r="I161" s="61"/>
      <c r="J161" s="60"/>
      <c r="K161" s="62"/>
      <c r="L161" s="55"/>
      <c r="M161" s="41"/>
    </row>
    <row r="162" spans="1:13" ht="13.5">
      <c r="A162" s="86"/>
      <c r="B162" s="86" t="s">
        <v>108</v>
      </c>
      <c r="C162" s="86" t="s">
        <v>12</v>
      </c>
      <c r="D162" s="89"/>
      <c r="E162" s="90"/>
      <c r="F162" s="90">
        <v>580.6465</v>
      </c>
      <c r="H162" s="60"/>
      <c r="I162" s="61"/>
      <c r="J162" s="60"/>
      <c r="K162" s="62"/>
      <c r="L162" s="55"/>
      <c r="M162" s="41"/>
    </row>
    <row r="163" spans="1:13" ht="13.5">
      <c r="A163" s="86"/>
      <c r="B163" s="86" t="s">
        <v>236</v>
      </c>
      <c r="C163" s="86" t="s">
        <v>12</v>
      </c>
      <c r="D163" s="89"/>
      <c r="E163" s="90"/>
      <c r="F163" s="94">
        <v>55.06</v>
      </c>
      <c r="H163" s="60"/>
      <c r="I163" s="61"/>
      <c r="J163" s="60"/>
      <c r="K163" s="62"/>
      <c r="L163" s="55"/>
      <c r="M163" s="41"/>
    </row>
    <row r="164" spans="1:13" ht="13.5">
      <c r="A164" s="86"/>
      <c r="B164" s="86" t="s">
        <v>202</v>
      </c>
      <c r="C164" s="86" t="s">
        <v>203</v>
      </c>
      <c r="D164" s="89"/>
      <c r="E164" s="90"/>
      <c r="F164" s="94">
        <v>36.67</v>
      </c>
      <c r="H164" s="60"/>
      <c r="I164" s="61"/>
      <c r="J164" s="60"/>
      <c r="K164" s="62"/>
      <c r="L164" s="55"/>
      <c r="M164" s="41"/>
    </row>
    <row r="165" spans="1:13" ht="13.5">
      <c r="A165" s="86"/>
      <c r="B165" s="86" t="s">
        <v>233</v>
      </c>
      <c r="C165" s="86" t="s">
        <v>8</v>
      </c>
      <c r="D165" s="89"/>
      <c r="E165" s="90"/>
      <c r="F165" s="94">
        <v>103.21</v>
      </c>
      <c r="H165" s="60"/>
      <c r="I165" s="61"/>
      <c r="J165" s="60"/>
      <c r="K165" s="62"/>
      <c r="L165" s="55"/>
      <c r="M165" s="41"/>
    </row>
    <row r="166" spans="1:13" ht="13.5">
      <c r="A166" s="86"/>
      <c r="B166" s="86" t="s">
        <v>241</v>
      </c>
      <c r="C166" s="86" t="s">
        <v>8</v>
      </c>
      <c r="D166" s="89"/>
      <c r="E166" s="90"/>
      <c r="F166" s="94">
        <v>113.99</v>
      </c>
      <c r="H166" s="60"/>
      <c r="I166" s="61"/>
      <c r="J166" s="60"/>
      <c r="K166" s="62"/>
      <c r="L166" s="63"/>
      <c r="M166" s="41"/>
    </row>
    <row r="167" spans="1:13" ht="13.5">
      <c r="A167" s="86"/>
      <c r="B167" s="86" t="s">
        <v>116</v>
      </c>
      <c r="C167" s="86" t="s">
        <v>8</v>
      </c>
      <c r="D167" s="89"/>
      <c r="E167" s="90"/>
      <c r="F167" s="94">
        <v>151.94</v>
      </c>
      <c r="H167" s="60"/>
      <c r="I167" s="61"/>
      <c r="J167" s="60"/>
      <c r="K167" s="62"/>
      <c r="L167" s="52"/>
      <c r="M167" s="41"/>
    </row>
    <row r="168" spans="1:13" ht="13.5">
      <c r="A168" s="86"/>
      <c r="B168" s="86" t="s">
        <v>114</v>
      </c>
      <c r="C168" s="86" t="s">
        <v>12</v>
      </c>
      <c r="D168" s="89"/>
      <c r="E168" s="90"/>
      <c r="F168" s="94">
        <v>81.77</v>
      </c>
      <c r="H168" s="60"/>
      <c r="I168" s="61"/>
      <c r="J168" s="60"/>
      <c r="K168" s="62"/>
      <c r="L168" s="52"/>
      <c r="M168" s="41"/>
    </row>
    <row r="169" spans="1:13" ht="13.5">
      <c r="A169" s="86"/>
      <c r="B169" s="86" t="s">
        <v>117</v>
      </c>
      <c r="C169" s="86" t="s">
        <v>12</v>
      </c>
      <c r="D169" s="89"/>
      <c r="E169" s="90"/>
      <c r="F169" s="90">
        <v>29.193669999999997</v>
      </c>
      <c r="H169" s="60"/>
      <c r="I169" s="51"/>
      <c r="J169" s="60"/>
      <c r="K169" s="62"/>
      <c r="L169" s="52"/>
      <c r="M169" s="41"/>
    </row>
    <row r="170" spans="1:13" ht="13.5">
      <c r="A170" s="86"/>
      <c r="B170" s="86" t="s">
        <v>136</v>
      </c>
      <c r="C170" s="86" t="s">
        <v>12</v>
      </c>
      <c r="D170" s="89"/>
      <c r="E170" s="90"/>
      <c r="F170" s="94">
        <v>194.06</v>
      </c>
      <c r="H170" s="60"/>
      <c r="I170" s="61"/>
      <c r="J170" s="60"/>
      <c r="K170" s="62"/>
      <c r="L170" s="62"/>
      <c r="M170" s="41"/>
    </row>
    <row r="171" spans="1:13" ht="13.5">
      <c r="A171" s="86"/>
      <c r="B171" s="86" t="s">
        <v>252</v>
      </c>
      <c r="C171" s="86" t="s">
        <v>12</v>
      </c>
      <c r="D171" s="89"/>
      <c r="E171" s="90"/>
      <c r="F171" s="94">
        <v>224.82</v>
      </c>
      <c r="H171" s="60"/>
      <c r="I171" s="61"/>
      <c r="J171" s="60"/>
      <c r="K171" s="62"/>
      <c r="L171" s="52"/>
      <c r="M171" s="41"/>
    </row>
    <row r="172" spans="1:13" ht="13.5">
      <c r="A172" s="86"/>
      <c r="B172" s="86" t="s">
        <v>110</v>
      </c>
      <c r="C172" s="86" t="s">
        <v>13</v>
      </c>
      <c r="D172" s="89"/>
      <c r="E172" s="90"/>
      <c r="F172" s="94">
        <f>391.07</f>
        <v>391.07</v>
      </c>
      <c r="H172" s="60"/>
      <c r="I172" s="61"/>
      <c r="J172" s="60"/>
      <c r="K172" s="62"/>
      <c r="L172" s="52"/>
      <c r="M172" s="41"/>
    </row>
    <row r="173" spans="1:13" ht="13.5">
      <c r="A173" s="86"/>
      <c r="B173" s="86" t="s">
        <v>109</v>
      </c>
      <c r="C173" s="86" t="s">
        <v>8</v>
      </c>
      <c r="D173" s="89"/>
      <c r="E173" s="90"/>
      <c r="F173" s="90">
        <v>105.097005</v>
      </c>
      <c r="H173" s="60"/>
      <c r="I173" s="61"/>
      <c r="J173" s="60"/>
      <c r="K173" s="62"/>
      <c r="L173" s="52"/>
      <c r="M173" s="41"/>
    </row>
    <row r="174" spans="1:13" ht="13.5">
      <c r="A174" s="86"/>
      <c r="B174" s="86" t="s">
        <v>111</v>
      </c>
      <c r="C174" s="86" t="s">
        <v>8</v>
      </c>
      <c r="D174" s="89"/>
      <c r="E174" s="90"/>
      <c r="F174" s="90">
        <v>23.354889999999997</v>
      </c>
      <c r="H174" s="60"/>
      <c r="I174" s="61"/>
      <c r="J174" s="60"/>
      <c r="K174" s="62"/>
      <c r="L174" s="52"/>
      <c r="M174" s="41"/>
    </row>
    <row r="175" spans="1:13" ht="13.5">
      <c r="A175" s="86"/>
      <c r="B175" s="86" t="s">
        <v>206</v>
      </c>
      <c r="C175" s="86" t="s">
        <v>15</v>
      </c>
      <c r="D175" s="89"/>
      <c r="E175" s="90"/>
      <c r="F175" s="94">
        <v>1034.96</v>
      </c>
      <c r="H175" s="60"/>
      <c r="I175" s="61"/>
      <c r="J175" s="60"/>
      <c r="K175" s="62"/>
      <c r="L175" s="52"/>
      <c r="M175" s="41"/>
    </row>
    <row r="176" spans="1:13" ht="13.5">
      <c r="A176" s="86"/>
      <c r="B176" s="86" t="s">
        <v>16</v>
      </c>
      <c r="C176" s="86" t="s">
        <v>15</v>
      </c>
      <c r="D176" s="89"/>
      <c r="E176" s="90"/>
      <c r="F176" s="94">
        <v>2069.92</v>
      </c>
      <c r="H176" s="60"/>
      <c r="I176" s="61"/>
      <c r="J176" s="60"/>
      <c r="K176" s="62"/>
      <c r="L176" s="55"/>
      <c r="M176" s="41"/>
    </row>
    <row r="177" spans="1:13" ht="13.5">
      <c r="A177" s="86"/>
      <c r="B177" s="86" t="s">
        <v>88</v>
      </c>
      <c r="C177" s="86" t="s">
        <v>15</v>
      </c>
      <c r="D177" s="89"/>
      <c r="E177" s="90"/>
      <c r="F177" s="94">
        <v>1.33</v>
      </c>
      <c r="H177" s="60"/>
      <c r="I177" s="61"/>
      <c r="J177" s="60"/>
      <c r="K177" s="62"/>
      <c r="L177" s="52"/>
      <c r="M177" s="41"/>
    </row>
    <row r="178" spans="1:13" ht="13.5">
      <c r="A178" s="86"/>
      <c r="B178" s="86" t="s">
        <v>242</v>
      </c>
      <c r="C178" s="86" t="s">
        <v>17</v>
      </c>
      <c r="D178" s="89"/>
      <c r="E178" s="90"/>
      <c r="F178" s="94">
        <v>1.33</v>
      </c>
      <c r="H178" s="60"/>
      <c r="I178" s="61"/>
      <c r="J178" s="60"/>
      <c r="K178" s="62"/>
      <c r="L178" s="52"/>
      <c r="M178" s="41"/>
    </row>
    <row r="179" spans="1:13" ht="13.5">
      <c r="A179" s="86"/>
      <c r="B179" s="86" t="s">
        <v>208</v>
      </c>
      <c r="C179" s="86" t="s">
        <v>15</v>
      </c>
      <c r="D179" s="89"/>
      <c r="E179" s="90"/>
      <c r="F179" s="94">
        <v>4.93</v>
      </c>
      <c r="H179" s="60"/>
      <c r="I179" s="61"/>
      <c r="J179" s="60"/>
      <c r="K179" s="62"/>
      <c r="L179" s="55"/>
      <c r="M179" s="41"/>
    </row>
    <row r="180" spans="1:13" ht="13.5">
      <c r="A180" s="86"/>
      <c r="B180" s="86" t="s">
        <v>89</v>
      </c>
      <c r="C180" s="86" t="s">
        <v>15</v>
      </c>
      <c r="D180" s="89"/>
      <c r="E180" s="90"/>
      <c r="F180" s="94">
        <v>0.65</v>
      </c>
      <c r="H180" s="60"/>
      <c r="I180" s="61"/>
      <c r="J180" s="60"/>
      <c r="K180" s="62"/>
      <c r="L180" s="52"/>
      <c r="M180" s="41"/>
    </row>
    <row r="181" spans="1:13" ht="13.5">
      <c r="A181" s="86"/>
      <c r="B181" s="86" t="s">
        <v>209</v>
      </c>
      <c r="C181" s="86" t="s">
        <v>15</v>
      </c>
      <c r="D181" s="89"/>
      <c r="E181" s="90"/>
      <c r="F181" s="94">
        <v>1.96</v>
      </c>
      <c r="H181" s="60"/>
      <c r="I181" s="61"/>
      <c r="J181" s="60"/>
      <c r="K181" s="62"/>
      <c r="L181" s="52"/>
      <c r="M181" s="41"/>
    </row>
    <row r="182" spans="1:13" ht="13.5">
      <c r="A182" s="86"/>
      <c r="B182" s="86" t="s">
        <v>234</v>
      </c>
      <c r="C182" s="86" t="s">
        <v>7</v>
      </c>
      <c r="D182" s="89"/>
      <c r="E182" s="90"/>
      <c r="F182" s="90">
        <v>145.96811999999997</v>
      </c>
      <c r="H182" s="60"/>
      <c r="I182" s="61"/>
      <c r="J182" s="60"/>
      <c r="K182" s="62"/>
      <c r="L182" s="52"/>
      <c r="M182" s="41"/>
    </row>
    <row r="183" spans="1:13" ht="13.5">
      <c r="A183" s="86"/>
      <c r="B183" s="86" t="s">
        <v>235</v>
      </c>
      <c r="C183" s="86" t="s">
        <v>65</v>
      </c>
      <c r="D183" s="89"/>
      <c r="E183" s="90"/>
      <c r="F183" s="90">
        <v>7.590344999999999</v>
      </c>
      <c r="H183" s="60"/>
      <c r="I183" s="61"/>
      <c r="J183" s="60"/>
      <c r="K183" s="62"/>
      <c r="L183" s="52"/>
      <c r="M183" s="41"/>
    </row>
    <row r="184" spans="1:13" ht="13.5">
      <c r="A184" s="86"/>
      <c r="B184" s="86" t="s">
        <v>210</v>
      </c>
      <c r="C184" s="86" t="s">
        <v>15</v>
      </c>
      <c r="D184" s="89"/>
      <c r="E184" s="90"/>
      <c r="F184" s="90">
        <v>1.5181149999999999</v>
      </c>
      <c r="H184" s="60"/>
      <c r="I184" s="61"/>
      <c r="J184" s="60"/>
      <c r="K184" s="62"/>
      <c r="L184" s="52"/>
      <c r="M184" s="41"/>
    </row>
    <row r="185" spans="1:13" ht="13.5">
      <c r="A185" s="86"/>
      <c r="B185" s="86" t="s">
        <v>217</v>
      </c>
      <c r="C185" s="86" t="s">
        <v>218</v>
      </c>
      <c r="D185" s="89"/>
      <c r="E185" s="90"/>
      <c r="F185" s="90">
        <v>1693.2301</v>
      </c>
      <c r="H185" s="60"/>
      <c r="I185" s="61"/>
      <c r="J185" s="60"/>
      <c r="K185" s="62"/>
      <c r="L185" s="52"/>
      <c r="M185" s="41"/>
    </row>
    <row r="186" spans="1:13" ht="13.5">
      <c r="A186" s="86"/>
      <c r="B186" s="86" t="s">
        <v>130</v>
      </c>
      <c r="C186" s="86" t="s">
        <v>73</v>
      </c>
      <c r="D186" s="89"/>
      <c r="E186" s="90"/>
      <c r="F186" s="90">
        <v>483.44642999999996</v>
      </c>
      <c r="H186" s="60"/>
      <c r="I186" s="61"/>
      <c r="J186" s="60"/>
      <c r="K186" s="62"/>
      <c r="L186" s="52"/>
      <c r="M186" s="41"/>
    </row>
    <row r="187" spans="1:13" ht="13.5">
      <c r="A187" s="86"/>
      <c r="B187" s="86" t="s">
        <v>227</v>
      </c>
      <c r="C187" s="86" t="s">
        <v>73</v>
      </c>
      <c r="D187" s="89"/>
      <c r="E187" s="90"/>
      <c r="F187" s="90">
        <v>716.0613</v>
      </c>
      <c r="H187" s="60"/>
      <c r="I187" s="61"/>
      <c r="J187" s="60"/>
      <c r="K187" s="62"/>
      <c r="L187" s="52"/>
      <c r="M187" s="41"/>
    </row>
    <row r="188" spans="1:13" ht="13.5">
      <c r="A188" s="86"/>
      <c r="B188" s="86" t="s">
        <v>223</v>
      </c>
      <c r="C188" s="86" t="s">
        <v>73</v>
      </c>
      <c r="D188" s="89"/>
      <c r="E188" s="90"/>
      <c r="F188" s="90">
        <v>881.8199999999999</v>
      </c>
      <c r="H188" s="60"/>
      <c r="I188" s="61"/>
      <c r="J188" s="60"/>
      <c r="K188" s="62"/>
      <c r="L188" s="52"/>
      <c r="M188" s="41"/>
    </row>
    <row r="189" spans="1:13" ht="13.5">
      <c r="A189" s="86"/>
      <c r="B189" s="86" t="s">
        <v>98</v>
      </c>
      <c r="C189" s="86" t="s">
        <v>99</v>
      </c>
      <c r="D189" s="89"/>
      <c r="E189" s="90"/>
      <c r="F189" s="90">
        <v>895.4267999999998</v>
      </c>
      <c r="H189" s="60"/>
      <c r="I189" s="61"/>
      <c r="J189" s="60"/>
      <c r="K189" s="62"/>
      <c r="L189" s="52"/>
      <c r="M189" s="41"/>
    </row>
    <row r="190" spans="1:13" ht="13.5">
      <c r="A190" s="86"/>
      <c r="B190" s="86" t="s">
        <v>59</v>
      </c>
      <c r="C190" s="86" t="s">
        <v>14</v>
      </c>
      <c r="D190" s="89"/>
      <c r="E190" s="90"/>
      <c r="F190" s="94">
        <v>275</v>
      </c>
      <c r="H190" s="60"/>
      <c r="I190" s="61"/>
      <c r="J190" s="60"/>
      <c r="K190" s="62"/>
      <c r="L190" s="52"/>
      <c r="M190" s="41"/>
    </row>
    <row r="191" spans="1:13" ht="13.5">
      <c r="A191" s="86"/>
      <c r="B191" s="86" t="s">
        <v>137</v>
      </c>
      <c r="C191" s="86" t="s">
        <v>8</v>
      </c>
      <c r="D191" s="89"/>
      <c r="E191" s="90"/>
      <c r="F191" s="90">
        <v>220.5125</v>
      </c>
      <c r="H191" s="60"/>
      <c r="I191" s="61"/>
      <c r="J191" s="60"/>
      <c r="K191" s="62"/>
      <c r="L191" s="52"/>
      <c r="M191" s="41"/>
    </row>
    <row r="192" spans="1:13" ht="13.5">
      <c r="A192" s="86"/>
      <c r="B192" s="86" t="s">
        <v>48</v>
      </c>
      <c r="C192" s="86" t="s">
        <v>12</v>
      </c>
      <c r="D192" s="89"/>
      <c r="E192" s="90"/>
      <c r="F192" s="90">
        <v>345</v>
      </c>
      <c r="H192" s="60"/>
      <c r="I192" s="61"/>
      <c r="J192" s="60"/>
      <c r="K192" s="62"/>
      <c r="L192" s="52"/>
      <c r="M192" s="41"/>
    </row>
    <row r="193" spans="1:13" ht="13.5">
      <c r="A193" s="86"/>
      <c r="B193" s="86" t="s">
        <v>51</v>
      </c>
      <c r="C193" s="86" t="s">
        <v>13</v>
      </c>
      <c r="D193" s="89"/>
      <c r="E193" s="90"/>
      <c r="F193" s="90">
        <v>546.25</v>
      </c>
      <c r="H193" s="60"/>
      <c r="I193" s="61"/>
      <c r="J193" s="60"/>
      <c r="K193" s="62"/>
      <c r="L193" s="52"/>
      <c r="M193" s="41"/>
    </row>
    <row r="194" spans="1:13" ht="13.5">
      <c r="A194" s="86"/>
      <c r="B194" s="86" t="s">
        <v>50</v>
      </c>
      <c r="C194" s="86" t="s">
        <v>14</v>
      </c>
      <c r="D194" s="89"/>
      <c r="E194" s="90"/>
      <c r="F194" s="90">
        <v>345</v>
      </c>
      <c r="H194" s="60"/>
      <c r="I194" s="61"/>
      <c r="J194" s="60"/>
      <c r="K194" s="62"/>
      <c r="L194" s="52"/>
      <c r="M194" s="41"/>
    </row>
    <row r="195" spans="1:13" ht="13.5">
      <c r="A195" s="86"/>
      <c r="B195" s="86" t="s">
        <v>49</v>
      </c>
      <c r="C195" s="86" t="s">
        <v>12</v>
      </c>
      <c r="D195" s="89"/>
      <c r="E195" s="90"/>
      <c r="F195" s="90">
        <v>345</v>
      </c>
      <c r="H195" s="60"/>
      <c r="I195" s="61"/>
      <c r="J195" s="60"/>
      <c r="K195" s="62"/>
      <c r="L195" s="52"/>
      <c r="M195" s="41"/>
    </row>
    <row r="196" spans="1:13" ht="13.5">
      <c r="A196" s="86"/>
      <c r="B196" s="86" t="s">
        <v>52</v>
      </c>
      <c r="C196" s="86" t="s">
        <v>12</v>
      </c>
      <c r="D196" s="89"/>
      <c r="E196" s="90"/>
      <c r="F196" s="90">
        <v>247.24999999999997</v>
      </c>
      <c r="H196" s="60"/>
      <c r="I196" s="61"/>
      <c r="J196" s="60"/>
      <c r="K196" s="62"/>
      <c r="L196" s="52"/>
      <c r="M196" s="41"/>
    </row>
    <row r="197" spans="1:13" ht="13.5">
      <c r="A197" s="86"/>
      <c r="B197" s="86" t="s">
        <v>56</v>
      </c>
      <c r="C197" s="86" t="s">
        <v>8</v>
      </c>
      <c r="D197" s="89"/>
      <c r="E197" s="90"/>
      <c r="F197" s="90">
        <v>235.74999999999997</v>
      </c>
      <c r="H197" s="60"/>
      <c r="I197" s="61"/>
      <c r="J197" s="60"/>
      <c r="K197" s="62"/>
      <c r="L197" s="52"/>
      <c r="M197" s="41"/>
    </row>
    <row r="198" spans="1:13" ht="13.5">
      <c r="A198" s="86"/>
      <c r="B198" s="86" t="s">
        <v>54</v>
      </c>
      <c r="C198" s="86" t="s">
        <v>4</v>
      </c>
      <c r="D198" s="89"/>
      <c r="E198" s="90"/>
      <c r="F198" s="90">
        <v>4203.88135</v>
      </c>
      <c r="H198" s="60"/>
      <c r="I198" s="61"/>
      <c r="J198" s="60"/>
      <c r="K198" s="62"/>
      <c r="L198" s="52"/>
      <c r="M198" s="41"/>
    </row>
    <row r="199" spans="1:13" ht="13.5">
      <c r="A199" s="86"/>
      <c r="B199" s="86" t="s">
        <v>248</v>
      </c>
      <c r="C199" s="86" t="s">
        <v>14</v>
      </c>
      <c r="D199" s="89"/>
      <c r="E199" s="90"/>
      <c r="F199" s="90">
        <v>227.71023499999998</v>
      </c>
      <c r="H199" s="60"/>
      <c r="I199" s="61"/>
      <c r="J199" s="60"/>
      <c r="K199" s="62"/>
      <c r="L199" s="52"/>
      <c r="M199" s="41"/>
    </row>
    <row r="200" spans="1:13" ht="13.5">
      <c r="A200" s="86"/>
      <c r="B200" s="86" t="s">
        <v>123</v>
      </c>
      <c r="C200" s="86" t="s">
        <v>15</v>
      </c>
      <c r="D200" s="89"/>
      <c r="E200" s="90"/>
      <c r="F200" s="90">
        <v>690</v>
      </c>
      <c r="H200" s="60"/>
      <c r="I200" s="61"/>
      <c r="J200" s="60"/>
      <c r="K200" s="62"/>
      <c r="L200" s="52"/>
      <c r="M200" s="41"/>
    </row>
    <row r="201" spans="1:13" ht="13.5">
      <c r="A201" s="86"/>
      <c r="B201" s="86" t="s">
        <v>124</v>
      </c>
      <c r="C201" s="86" t="s">
        <v>14</v>
      </c>
      <c r="D201" s="89"/>
      <c r="E201" s="90"/>
      <c r="F201" s="90">
        <v>49.0452</v>
      </c>
      <c r="H201" s="60"/>
      <c r="I201" s="61"/>
      <c r="J201" s="60"/>
      <c r="K201" s="62"/>
      <c r="L201" s="52"/>
      <c r="M201" s="41"/>
    </row>
    <row r="202" spans="1:13" ht="13.5">
      <c r="A202" s="86"/>
      <c r="B202" s="86" t="s">
        <v>125</v>
      </c>
      <c r="C202" s="86" t="s">
        <v>32</v>
      </c>
      <c r="D202" s="89"/>
      <c r="E202" s="90"/>
      <c r="F202" s="90">
        <v>575</v>
      </c>
      <c r="H202" s="60"/>
      <c r="I202" s="61"/>
      <c r="J202" s="60"/>
      <c r="K202" s="62"/>
      <c r="L202" s="52"/>
      <c r="M202" s="41"/>
    </row>
    <row r="203" spans="1:13" ht="13.5">
      <c r="A203" s="86"/>
      <c r="B203" s="86" t="s">
        <v>205</v>
      </c>
      <c r="C203" s="86" t="s">
        <v>7</v>
      </c>
      <c r="D203" s="89"/>
      <c r="E203" s="90"/>
      <c r="F203" s="90">
        <v>472.63</v>
      </c>
      <c r="H203" s="60"/>
      <c r="I203" s="61"/>
      <c r="J203" s="60"/>
      <c r="K203" s="62"/>
      <c r="L203" s="52"/>
      <c r="M203" s="41"/>
    </row>
    <row r="204" spans="1:13" ht="13.5">
      <c r="A204" s="86"/>
      <c r="B204" s="86" t="s">
        <v>216</v>
      </c>
      <c r="C204" s="86" t="s">
        <v>4</v>
      </c>
      <c r="D204" s="89"/>
      <c r="E204" s="90"/>
      <c r="F204" s="90">
        <v>104.719</v>
      </c>
      <c r="H204" s="60"/>
      <c r="I204" s="61"/>
      <c r="J204" s="60"/>
      <c r="K204" s="62"/>
      <c r="L204" s="52"/>
      <c r="M204" s="41"/>
    </row>
    <row r="205" spans="1:13" ht="13.5">
      <c r="A205" s="86"/>
      <c r="B205" s="86" t="s">
        <v>18</v>
      </c>
      <c r="C205" s="86" t="s">
        <v>17</v>
      </c>
      <c r="D205" s="89"/>
      <c r="E205" s="90"/>
      <c r="F205" s="90">
        <v>41048.5255</v>
      </c>
      <c r="H205" s="60"/>
      <c r="I205" s="61"/>
      <c r="J205" s="60"/>
      <c r="K205" s="62"/>
      <c r="L205" s="52"/>
      <c r="M205" s="41"/>
    </row>
    <row r="206" spans="1:13" ht="13.5">
      <c r="A206" s="86"/>
      <c r="B206" s="86" t="s">
        <v>222</v>
      </c>
      <c r="C206" s="86" t="s">
        <v>13</v>
      </c>
      <c r="D206" s="89"/>
      <c r="E206" s="90"/>
      <c r="F206" s="90">
        <v>33.57264</v>
      </c>
      <c r="H206" s="60"/>
      <c r="I206" s="61"/>
      <c r="J206" s="60"/>
      <c r="K206" s="62"/>
      <c r="L206" s="52"/>
      <c r="M206" s="41"/>
    </row>
    <row r="207" spans="1:13" ht="13.5">
      <c r="A207" s="86"/>
      <c r="B207" s="86" t="s">
        <v>221</v>
      </c>
      <c r="C207" s="86" t="s">
        <v>12</v>
      </c>
      <c r="D207" s="89"/>
      <c r="E207" s="90"/>
      <c r="F207" s="90">
        <v>46</v>
      </c>
      <c r="H207" s="60"/>
      <c r="I207" s="61"/>
      <c r="J207" s="60"/>
      <c r="K207" s="62"/>
      <c r="L207" s="52"/>
      <c r="M207" s="41"/>
    </row>
    <row r="208" spans="1:13" ht="13.5">
      <c r="A208" s="86"/>
      <c r="B208" s="86" t="s">
        <v>144</v>
      </c>
      <c r="C208" s="86" t="s">
        <v>13</v>
      </c>
      <c r="D208" s="89"/>
      <c r="E208" s="90"/>
      <c r="F208" s="90">
        <v>7.006489999999999</v>
      </c>
      <c r="H208" s="60"/>
      <c r="I208" s="61"/>
      <c r="J208" s="60"/>
      <c r="K208" s="62"/>
      <c r="L208" s="52"/>
      <c r="M208" s="41"/>
    </row>
    <row r="209" spans="1:13" ht="13.5">
      <c r="A209" s="86"/>
      <c r="B209" s="86" t="s">
        <v>255</v>
      </c>
      <c r="C209" s="86" t="s">
        <v>20</v>
      </c>
      <c r="D209" s="89"/>
      <c r="E209" s="90"/>
      <c r="F209" s="90">
        <v>642.259705</v>
      </c>
      <c r="H209" s="60"/>
      <c r="I209" s="61"/>
      <c r="J209" s="60"/>
      <c r="K209" s="62"/>
      <c r="L209" s="52"/>
      <c r="M209" s="41"/>
    </row>
    <row r="210" spans="1:13" ht="13.5">
      <c r="A210" s="86"/>
      <c r="B210" s="86" t="s">
        <v>145</v>
      </c>
      <c r="C210" s="86" t="s">
        <v>8</v>
      </c>
      <c r="D210" s="89"/>
      <c r="E210" s="90"/>
      <c r="F210" s="90">
        <v>40.445499999999996</v>
      </c>
      <c r="H210" s="60"/>
      <c r="I210" s="61"/>
      <c r="J210" s="60"/>
      <c r="K210" s="62"/>
      <c r="L210" s="52"/>
      <c r="M210" s="41"/>
    </row>
    <row r="211" spans="1:13" ht="13.5">
      <c r="A211" s="86"/>
      <c r="B211" s="86" t="s">
        <v>150</v>
      </c>
      <c r="C211" s="86" t="s">
        <v>8</v>
      </c>
      <c r="D211" s="89"/>
      <c r="E211" s="90"/>
      <c r="F211" s="90">
        <v>52.12949999999999</v>
      </c>
      <c r="H211" s="60"/>
      <c r="I211" s="61"/>
      <c r="J211" s="60"/>
      <c r="K211" s="62"/>
      <c r="L211" s="52"/>
      <c r="M211" s="41"/>
    </row>
    <row r="212" spans="1:13" ht="13.5">
      <c r="A212" s="86"/>
      <c r="B212" s="86" t="s">
        <v>146</v>
      </c>
      <c r="C212" s="86" t="s">
        <v>8</v>
      </c>
      <c r="D212" s="89"/>
      <c r="E212" s="90"/>
      <c r="F212" s="90">
        <v>6.152499999999999</v>
      </c>
      <c r="H212" s="60"/>
      <c r="I212" s="61"/>
      <c r="J212" s="60"/>
      <c r="K212" s="62"/>
      <c r="L212" s="52"/>
      <c r="M212" s="41"/>
    </row>
    <row r="213" spans="1:13" ht="13.5">
      <c r="A213" s="86"/>
      <c r="B213" s="86" t="s">
        <v>112</v>
      </c>
      <c r="C213" s="86" t="s">
        <v>15</v>
      </c>
      <c r="D213" s="89"/>
      <c r="E213" s="90"/>
      <c r="F213" s="90">
        <v>4.962825</v>
      </c>
      <c r="H213" s="60"/>
      <c r="I213" s="61"/>
      <c r="J213" s="60"/>
      <c r="K213" s="62"/>
      <c r="L213" s="52"/>
      <c r="M213" s="41"/>
    </row>
    <row r="214" spans="1:13" ht="13.5">
      <c r="A214" s="86"/>
      <c r="B214" s="86" t="s">
        <v>115</v>
      </c>
      <c r="C214" s="86" t="s">
        <v>15</v>
      </c>
      <c r="D214" s="89"/>
      <c r="E214" s="90"/>
      <c r="F214" s="90">
        <v>1.9549999999999998</v>
      </c>
      <c r="H214" s="60"/>
      <c r="I214" s="61"/>
      <c r="J214" s="60"/>
      <c r="K214" s="62"/>
      <c r="L214" s="52"/>
      <c r="M214" s="41"/>
    </row>
    <row r="215" spans="1:13" ht="12.75">
      <c r="A215" s="86"/>
      <c r="B215" s="86" t="s">
        <v>249</v>
      </c>
      <c r="C215" s="86" t="s">
        <v>17</v>
      </c>
      <c r="D215" s="89"/>
      <c r="E215" s="90"/>
      <c r="F215" s="90">
        <v>8090.249999999999</v>
      </c>
      <c r="H215" s="60"/>
      <c r="I215" s="61"/>
      <c r="J215" s="60"/>
      <c r="K215" s="62"/>
      <c r="L215" s="52"/>
      <c r="M215" s="49"/>
    </row>
    <row r="216" spans="1:13" ht="13.5">
      <c r="A216" s="86"/>
      <c r="B216" s="86" t="s">
        <v>179</v>
      </c>
      <c r="C216" s="86" t="s">
        <v>15</v>
      </c>
      <c r="D216" s="89"/>
      <c r="E216" s="90"/>
      <c r="F216" s="90">
        <v>1111.3025</v>
      </c>
      <c r="H216" s="60"/>
      <c r="I216" s="61"/>
      <c r="J216" s="60"/>
      <c r="K216" s="62"/>
      <c r="L216" s="52"/>
      <c r="M216" s="41"/>
    </row>
    <row r="217" spans="1:13" ht="13.5">
      <c r="A217" s="86"/>
      <c r="B217" s="86" t="s">
        <v>180</v>
      </c>
      <c r="C217" s="86" t="s">
        <v>15</v>
      </c>
      <c r="D217" s="89"/>
      <c r="E217" s="90"/>
      <c r="F217" s="90">
        <v>707.4915</v>
      </c>
      <c r="H217" s="60"/>
      <c r="I217" s="61"/>
      <c r="J217" s="60"/>
      <c r="K217" s="62"/>
      <c r="L217" s="52"/>
      <c r="M217" s="41"/>
    </row>
    <row r="218" spans="1:13" ht="13.5">
      <c r="A218" s="86"/>
      <c r="B218" s="86" t="s">
        <v>187</v>
      </c>
      <c r="C218" s="86" t="s">
        <v>15</v>
      </c>
      <c r="D218" s="89"/>
      <c r="E218" s="90"/>
      <c r="F218" s="90">
        <v>403.811</v>
      </c>
      <c r="H218" s="60"/>
      <c r="I218" s="61"/>
      <c r="J218" s="60"/>
      <c r="K218" s="62"/>
      <c r="L218" s="52"/>
      <c r="M218" s="41"/>
    </row>
    <row r="219" spans="1:13" ht="13.5">
      <c r="A219" s="86"/>
      <c r="B219" s="86" t="s">
        <v>188</v>
      </c>
      <c r="C219" s="86" t="s">
        <v>15</v>
      </c>
      <c r="D219" s="89"/>
      <c r="E219" s="90"/>
      <c r="F219" s="90">
        <v>403.811</v>
      </c>
      <c r="H219" s="60"/>
      <c r="I219" s="61"/>
      <c r="J219" s="60"/>
      <c r="K219" s="62"/>
      <c r="L219" s="52"/>
      <c r="M219" s="41"/>
    </row>
    <row r="220" spans="1:13" ht="13.5">
      <c r="A220" s="86"/>
      <c r="B220" s="86" t="s">
        <v>192</v>
      </c>
      <c r="C220" s="86" t="s">
        <v>15</v>
      </c>
      <c r="D220" s="89"/>
      <c r="E220" s="90"/>
      <c r="F220" s="94">
        <v>1629.12</v>
      </c>
      <c r="H220" s="60"/>
      <c r="I220" s="61"/>
      <c r="J220" s="60"/>
      <c r="K220" s="62"/>
      <c r="L220" s="52"/>
      <c r="M220" s="41"/>
    </row>
    <row r="221" spans="1:13" ht="13.5">
      <c r="A221" s="86"/>
      <c r="B221" s="86" t="s">
        <v>197</v>
      </c>
      <c r="C221" s="86" t="s">
        <v>15</v>
      </c>
      <c r="D221" s="89"/>
      <c r="E221" s="90"/>
      <c r="F221" s="90">
        <v>911.0414999999999</v>
      </c>
      <c r="H221" s="60"/>
      <c r="I221" s="61"/>
      <c r="J221" s="60"/>
      <c r="K221" s="62"/>
      <c r="L221" s="52"/>
      <c r="M221" s="41"/>
    </row>
    <row r="222" spans="1:13" ht="13.5">
      <c r="A222" s="86"/>
      <c r="B222" s="86" t="s">
        <v>181</v>
      </c>
      <c r="C222" s="86" t="s">
        <v>15</v>
      </c>
      <c r="D222" s="89"/>
      <c r="E222" s="90"/>
      <c r="F222" s="90">
        <v>371.92679</v>
      </c>
      <c r="H222" s="60"/>
      <c r="I222" s="61"/>
      <c r="J222" s="60"/>
      <c r="K222" s="62"/>
      <c r="L222" s="52"/>
      <c r="M222" s="41"/>
    </row>
    <row r="223" spans="1:13" ht="13.5">
      <c r="A223" s="86"/>
      <c r="B223" s="86" t="s">
        <v>185</v>
      </c>
      <c r="C223" s="86" t="s">
        <v>15</v>
      </c>
      <c r="D223" s="89"/>
      <c r="E223" s="90"/>
      <c r="F223" s="94">
        <v>813.61</v>
      </c>
      <c r="H223" s="60"/>
      <c r="I223" s="61"/>
      <c r="J223" s="60"/>
      <c r="K223" s="62"/>
      <c r="L223" s="52"/>
      <c r="M223" s="41"/>
    </row>
    <row r="224" spans="1:13" ht="13.5">
      <c r="A224" s="86"/>
      <c r="B224" s="86" t="s">
        <v>250</v>
      </c>
      <c r="C224" s="86" t="s">
        <v>15</v>
      </c>
      <c r="D224" s="89"/>
      <c r="E224" s="90"/>
      <c r="F224" s="94">
        <v>1047.7</v>
      </c>
      <c r="H224" s="60"/>
      <c r="I224" s="61"/>
      <c r="J224" s="60"/>
      <c r="K224" s="62"/>
      <c r="L224" s="52"/>
      <c r="M224" s="41"/>
    </row>
    <row r="225" spans="1:13" ht="13.5">
      <c r="A225" s="86"/>
      <c r="B225" s="86" t="s">
        <v>211</v>
      </c>
      <c r="C225" s="86" t="s">
        <v>15</v>
      </c>
      <c r="D225" s="89"/>
      <c r="E225" s="90"/>
      <c r="F225" s="94">
        <v>930.66</v>
      </c>
      <c r="H225" s="60"/>
      <c r="I225" s="61"/>
      <c r="J225" s="60"/>
      <c r="K225" s="62"/>
      <c r="L225" s="52"/>
      <c r="M225" s="41"/>
    </row>
    <row r="226" spans="1:13" ht="13.5">
      <c r="A226" s="86"/>
      <c r="B226" s="86" t="s">
        <v>182</v>
      </c>
      <c r="C226" s="86" t="s">
        <v>15</v>
      </c>
      <c r="D226" s="89"/>
      <c r="E226" s="90"/>
      <c r="F226" s="94">
        <v>813.61</v>
      </c>
      <c r="H226" s="60"/>
      <c r="I226" s="61"/>
      <c r="J226" s="60"/>
      <c r="K226" s="62"/>
      <c r="L226" s="52"/>
      <c r="M226" s="41"/>
    </row>
    <row r="227" spans="1:13" ht="13.5">
      <c r="A227" s="86"/>
      <c r="B227" s="86" t="s">
        <v>161</v>
      </c>
      <c r="C227" s="86" t="s">
        <v>12</v>
      </c>
      <c r="D227" s="89"/>
      <c r="E227" s="90"/>
      <c r="F227" s="94">
        <v>32.97</v>
      </c>
      <c r="H227" s="60"/>
      <c r="I227" s="61"/>
      <c r="J227" s="60"/>
      <c r="K227" s="62"/>
      <c r="L227" s="52"/>
      <c r="M227" s="41"/>
    </row>
    <row r="228" spans="1:13" ht="13.5">
      <c r="A228" s="86"/>
      <c r="B228" s="86" t="s">
        <v>134</v>
      </c>
      <c r="C228" s="86" t="s">
        <v>73</v>
      </c>
      <c r="D228" s="89"/>
      <c r="E228" s="90"/>
      <c r="F228" s="94">
        <v>1363.99</v>
      </c>
      <c r="H228" s="60"/>
      <c r="I228" s="61"/>
      <c r="J228" s="60"/>
      <c r="K228" s="62"/>
      <c r="L228" s="52"/>
      <c r="M228" s="41"/>
    </row>
    <row r="229" spans="1:13" ht="13.5">
      <c r="A229" s="86"/>
      <c r="B229" s="86" t="s">
        <v>135</v>
      </c>
      <c r="C229" s="86" t="s">
        <v>73</v>
      </c>
      <c r="D229" s="89"/>
      <c r="E229" s="90"/>
      <c r="F229" s="94">
        <v>736.63</v>
      </c>
      <c r="H229" s="60"/>
      <c r="I229" s="61"/>
      <c r="J229" s="60"/>
      <c r="K229" s="62"/>
      <c r="L229" s="52"/>
      <c r="M229" s="41"/>
    </row>
    <row r="230" spans="1:13" ht="13.5">
      <c r="A230" s="86"/>
      <c r="B230" s="86" t="s">
        <v>226</v>
      </c>
      <c r="C230" s="86" t="s">
        <v>8</v>
      </c>
      <c r="D230" s="89"/>
      <c r="E230" s="90"/>
      <c r="F230" s="90">
        <v>28.749999999999996</v>
      </c>
      <c r="H230" s="60"/>
      <c r="I230" s="61"/>
      <c r="J230" s="60"/>
      <c r="K230" s="62"/>
      <c r="L230" s="52"/>
      <c r="M230" s="41"/>
    </row>
    <row r="231" spans="1:13" ht="13.5">
      <c r="A231" s="86"/>
      <c r="B231" s="86" t="s">
        <v>45</v>
      </c>
      <c r="C231" s="86" t="s">
        <v>39</v>
      </c>
      <c r="D231" s="89"/>
      <c r="E231" s="90"/>
      <c r="F231" s="94">
        <v>283.89</v>
      </c>
      <c r="H231" s="60"/>
      <c r="I231" s="61"/>
      <c r="J231" s="60"/>
      <c r="K231" s="62"/>
      <c r="L231" s="52"/>
      <c r="M231" s="41"/>
    </row>
    <row r="232" spans="1:13" ht="13.5">
      <c r="A232" s="86"/>
      <c r="B232" s="86" t="s">
        <v>53</v>
      </c>
      <c r="C232" s="86" t="s">
        <v>12</v>
      </c>
      <c r="D232" s="89"/>
      <c r="E232" s="90"/>
      <c r="F232" s="94">
        <v>94.62</v>
      </c>
      <c r="H232" s="60"/>
      <c r="I232" s="61"/>
      <c r="J232" s="60"/>
      <c r="K232" s="62"/>
      <c r="L232" s="52"/>
      <c r="M232" s="41"/>
    </row>
    <row r="233" spans="1:13" ht="13.5">
      <c r="A233" s="86"/>
      <c r="B233" s="86" t="s">
        <v>55</v>
      </c>
      <c r="C233" s="86" t="s">
        <v>15</v>
      </c>
      <c r="D233" s="89"/>
      <c r="E233" s="90"/>
      <c r="F233" s="94">
        <v>2488.15</v>
      </c>
      <c r="H233" s="60"/>
      <c r="I233" s="61"/>
      <c r="J233" s="60"/>
      <c r="K233" s="62"/>
      <c r="L233" s="52"/>
      <c r="M233" s="41"/>
    </row>
    <row r="234" spans="1:13" ht="13.5">
      <c r="A234" s="86"/>
      <c r="B234" s="86" t="s">
        <v>251</v>
      </c>
      <c r="C234" s="86" t="s">
        <v>14</v>
      </c>
      <c r="D234" s="89"/>
      <c r="E234" s="90"/>
      <c r="F234" s="94">
        <v>94.62</v>
      </c>
      <c r="H234" s="60"/>
      <c r="I234" s="61"/>
      <c r="J234" s="60"/>
      <c r="K234" s="62"/>
      <c r="L234" s="52"/>
      <c r="M234" s="41"/>
    </row>
    <row r="235" spans="1:13" ht="13.5">
      <c r="A235" s="86"/>
      <c r="B235" s="86" t="s">
        <v>58</v>
      </c>
      <c r="C235" s="86" t="s">
        <v>39</v>
      </c>
      <c r="D235" s="89"/>
      <c r="E235" s="90"/>
      <c r="F235" s="94">
        <v>426.75</v>
      </c>
      <c r="H235" s="60"/>
      <c r="I235" s="61"/>
      <c r="J235" s="60"/>
      <c r="K235" s="62"/>
      <c r="L235" s="52"/>
      <c r="M235" s="41"/>
    </row>
    <row r="236" spans="1:13" ht="13.5">
      <c r="A236" s="86"/>
      <c r="B236" s="99" t="s">
        <v>291</v>
      </c>
      <c r="C236" s="106" t="s">
        <v>285</v>
      </c>
      <c r="D236" s="89"/>
      <c r="E236" s="90"/>
      <c r="F236" s="107">
        <v>114.61</v>
      </c>
      <c r="H236" s="60"/>
      <c r="I236" s="61"/>
      <c r="J236" s="60"/>
      <c r="K236" s="62"/>
      <c r="L236" s="52"/>
      <c r="M236" s="41"/>
    </row>
    <row r="237" spans="1:13" ht="13.5">
      <c r="A237" s="86"/>
      <c r="B237" s="108" t="s">
        <v>292</v>
      </c>
      <c r="C237" s="106" t="s">
        <v>285</v>
      </c>
      <c r="D237" s="89"/>
      <c r="E237" s="90"/>
      <c r="F237" s="109">
        <v>607.36</v>
      </c>
      <c r="H237" s="60"/>
      <c r="I237" s="61"/>
      <c r="J237" s="60"/>
      <c r="K237" s="62"/>
      <c r="L237" s="52"/>
      <c r="M237" s="41"/>
    </row>
    <row r="238" spans="8:13" ht="13.5">
      <c r="H238" s="60"/>
      <c r="I238" s="61"/>
      <c r="J238" s="60"/>
      <c r="K238" s="62"/>
      <c r="L238" s="52"/>
      <c r="M238" s="41"/>
    </row>
    <row r="239" spans="8:13" ht="13.5">
      <c r="H239" s="60"/>
      <c r="I239" s="61"/>
      <c r="J239" s="60"/>
      <c r="K239" s="62"/>
      <c r="L239" s="52"/>
      <c r="M239" s="41"/>
    </row>
    <row r="240" spans="8:13" ht="13.5">
      <c r="H240" s="60"/>
      <c r="I240" s="61"/>
      <c r="J240" s="60"/>
      <c r="K240" s="62"/>
      <c r="L240" s="52"/>
      <c r="M240" s="41"/>
    </row>
    <row r="241" spans="8:13" ht="13.5">
      <c r="H241" s="60"/>
      <c r="I241" s="61"/>
      <c r="J241" s="60"/>
      <c r="K241" s="62"/>
      <c r="L241" s="52"/>
      <c r="M241" s="41"/>
    </row>
    <row r="242" spans="10:13" ht="13.5">
      <c r="J242" s="36"/>
      <c r="K242" s="35"/>
      <c r="L242" s="36"/>
      <c r="M242" s="41"/>
    </row>
    <row r="243" spans="10:13" ht="13.5">
      <c r="J243" s="36"/>
      <c r="K243" s="35"/>
      <c r="L243" s="36"/>
      <c r="M243" s="41"/>
    </row>
    <row r="244" spans="10:13" ht="13.5">
      <c r="J244" s="36"/>
      <c r="K244" s="35"/>
      <c r="L244" s="36"/>
      <c r="M244" s="41"/>
    </row>
    <row r="245" spans="10:13" ht="13.5">
      <c r="J245" s="36"/>
      <c r="K245" s="35"/>
      <c r="L245" s="36"/>
      <c r="M245" s="41"/>
    </row>
    <row r="246" spans="10:13" ht="13.5">
      <c r="J246" s="36"/>
      <c r="K246" s="35"/>
      <c r="L246" s="36"/>
      <c r="M246" s="41"/>
    </row>
    <row r="247" spans="10:13" ht="13.5">
      <c r="J247" s="36"/>
      <c r="K247" s="35"/>
      <c r="L247" s="36"/>
      <c r="M247" s="41"/>
    </row>
    <row r="248" spans="10:13" ht="13.5">
      <c r="J248" s="36"/>
      <c r="K248" s="35"/>
      <c r="L248" s="36"/>
      <c r="M248" s="41"/>
    </row>
  </sheetData>
  <sheetProtection/>
  <mergeCells count="7">
    <mergeCell ref="C4:D4"/>
    <mergeCell ref="E5:G5"/>
    <mergeCell ref="E3:F3"/>
    <mergeCell ref="E4:F4"/>
    <mergeCell ref="B2:F2"/>
    <mergeCell ref="A8:F8"/>
    <mergeCell ref="C3:D3"/>
  </mergeCells>
  <hyperlinks>
    <hyperlink ref="B7" r:id="rId1" display="remotercsrl@gmail.com"/>
  </hyperlinks>
  <printOptions/>
  <pageMargins left="0.748031496062992" right="0.748031496062992" top="0.984251968503937" bottom="0.984251968503937" header="0.511811023622047" footer="0.511811023622047"/>
  <pageSetup horizontalDpi="600" verticalDpi="600" orientation="portrait" scale="63"/>
  <headerFooter alignWithMargins="0">
    <oddFooter>&amp;LLista de Recursos 
&amp;C&amp;P de &amp;N</oddFooter>
  </headerFooter>
  <ignoredErrors>
    <ignoredError sqref="A138:A139 A236:A330" numberStoredAsText="1"/>
  </ignoredErrors>
</worksheet>
</file>

<file path=xl/worksheets/sheet2.xml><?xml version="1.0" encoding="utf-8"?>
<worksheet xmlns="http://schemas.openxmlformats.org/spreadsheetml/2006/main" xmlns:r="http://schemas.openxmlformats.org/officeDocument/2006/relationships">
  <dimension ref="A1:O879"/>
  <sheetViews>
    <sheetView showGridLines="0" zoomScalePageLayoutView="0" workbookViewId="0" topLeftCell="A261">
      <selection activeCell="B477" sqref="B477"/>
    </sheetView>
  </sheetViews>
  <sheetFormatPr defaultColWidth="11.421875" defaultRowHeight="12.75"/>
  <cols>
    <col min="1" max="1" width="14.00390625" style="0" customWidth="1"/>
    <col min="2" max="2" width="33.00390625" style="3" customWidth="1"/>
    <col min="3" max="3" width="8.28125" style="5" customWidth="1"/>
    <col min="4" max="4" width="11.28125" style="1" bestFit="1" customWidth="1"/>
    <col min="5" max="5" width="6.7109375" style="0" customWidth="1"/>
    <col min="6" max="6" width="7.00390625" style="15" customWidth="1"/>
    <col min="7" max="7" width="12.421875" style="12" bestFit="1" customWidth="1"/>
    <col min="8" max="8" width="15.140625" style="1" customWidth="1"/>
    <col min="9" max="9" width="16.8515625" style="0" customWidth="1"/>
    <col min="10" max="10" width="14.00390625" style="13" customWidth="1"/>
    <col min="11" max="11" width="11.7109375" style="0" customWidth="1"/>
    <col min="12" max="12" width="13.421875" style="10" customWidth="1"/>
  </cols>
  <sheetData>
    <row r="1" spans="1:8" ht="15">
      <c r="A1" s="504"/>
      <c r="B1" s="505"/>
      <c r="C1" s="506"/>
      <c r="D1" s="522"/>
      <c r="E1" s="505"/>
      <c r="F1" s="666"/>
      <c r="G1" s="666"/>
      <c r="H1" s="508"/>
    </row>
    <row r="2" spans="1:12" s="127" customFormat="1" ht="33.75">
      <c r="A2" s="509"/>
      <c r="B2" s="652" t="s">
        <v>476</v>
      </c>
      <c r="C2" s="652"/>
      <c r="D2" s="652"/>
      <c r="E2" s="652"/>
      <c r="F2" s="652"/>
      <c r="G2" s="652"/>
      <c r="H2" s="667"/>
      <c r="J2" s="128"/>
      <c r="L2" s="129"/>
    </row>
    <row r="3" spans="1:8" ht="16.5">
      <c r="A3" s="510"/>
      <c r="B3" s="111" t="s">
        <v>378</v>
      </c>
      <c r="C3" s="670" t="s">
        <v>379</v>
      </c>
      <c r="D3" s="670"/>
      <c r="E3" s="663"/>
      <c r="F3" s="664"/>
      <c r="G3" s="664"/>
      <c r="H3" s="665"/>
    </row>
    <row r="4" spans="1:8" ht="31.5">
      <c r="A4" s="510"/>
      <c r="B4" s="521" t="s">
        <v>380</v>
      </c>
      <c r="C4" s="670" t="s">
        <v>381</v>
      </c>
      <c r="D4" s="670"/>
      <c r="E4" s="119"/>
      <c r="F4" s="661"/>
      <c r="G4" s="661"/>
      <c r="H4" s="662"/>
    </row>
    <row r="5" spans="1:8" ht="15.75">
      <c r="A5" s="510"/>
      <c r="B5" s="521" t="s">
        <v>382</v>
      </c>
      <c r="C5" s="521"/>
      <c r="D5" s="114"/>
      <c r="E5" s="660"/>
      <c r="F5" s="647"/>
      <c r="G5" s="647"/>
      <c r="H5" s="511"/>
    </row>
    <row r="6" spans="1:8" ht="15.75">
      <c r="A6" s="510"/>
      <c r="B6" s="521" t="s">
        <v>383</v>
      </c>
      <c r="C6" s="521"/>
      <c r="D6" s="114"/>
      <c r="E6" s="117"/>
      <c r="F6" s="133"/>
      <c r="G6" s="133"/>
      <c r="H6" s="512"/>
    </row>
    <row r="7" spans="1:8" ht="16.5" thickBot="1">
      <c r="A7" s="513"/>
      <c r="B7" s="514" t="s">
        <v>384</v>
      </c>
      <c r="C7" s="515"/>
      <c r="D7" s="516"/>
      <c r="E7" s="517"/>
      <c r="F7" s="518"/>
      <c r="G7" s="518"/>
      <c r="H7" s="519"/>
    </row>
    <row r="8" spans="1:8" ht="21.75" thickBot="1">
      <c r="A8" s="122"/>
      <c r="B8" s="668" t="s">
        <v>46</v>
      </c>
      <c r="C8" s="668"/>
      <c r="D8" s="668"/>
      <c r="E8" s="668"/>
      <c r="F8" s="668"/>
      <c r="G8" s="668"/>
      <c r="H8" s="669"/>
    </row>
    <row r="9" spans="1:8" ht="13.5" thickBot="1">
      <c r="A9" s="136"/>
      <c r="B9" s="137" t="s">
        <v>33</v>
      </c>
      <c r="C9" s="138" t="s">
        <v>34</v>
      </c>
      <c r="D9" s="139" t="s">
        <v>35</v>
      </c>
      <c r="E9" s="140" t="s">
        <v>36</v>
      </c>
      <c r="F9" s="141" t="s">
        <v>37</v>
      </c>
      <c r="G9" s="142" t="s">
        <v>2</v>
      </c>
      <c r="H9" s="139" t="s">
        <v>3</v>
      </c>
    </row>
    <row r="10" spans="1:8" ht="12.75">
      <c r="A10" s="121"/>
      <c r="B10" s="166"/>
      <c r="C10" s="167"/>
      <c r="D10" s="168"/>
      <c r="E10" s="169"/>
      <c r="F10" s="170"/>
      <c r="G10" s="171"/>
      <c r="H10" s="168"/>
    </row>
    <row r="11" spans="1:8" ht="25.5">
      <c r="A11" s="221"/>
      <c r="B11" s="172" t="s">
        <v>392</v>
      </c>
      <c r="C11" s="173"/>
      <c r="D11" s="174"/>
      <c r="E11" s="175"/>
      <c r="F11" s="176"/>
      <c r="G11" s="28"/>
      <c r="H11" s="174"/>
    </row>
    <row r="12" spans="1:8" ht="12.75">
      <c r="A12" s="221"/>
      <c r="B12" s="177" t="s">
        <v>479</v>
      </c>
      <c r="C12" s="178" t="s">
        <v>99</v>
      </c>
      <c r="D12" s="179">
        <f>'Lista de recursos'!F148</f>
        <v>572.6424999999999</v>
      </c>
      <c r="E12" s="180">
        <v>1</v>
      </c>
      <c r="F12" s="181">
        <v>2.453</v>
      </c>
      <c r="G12" s="182">
        <v>0.1</v>
      </c>
      <c r="H12" s="181">
        <f>PRODUCT(D12:G12)</f>
        <v>140.46920525</v>
      </c>
    </row>
    <row r="13" spans="1:8" ht="12.75">
      <c r="A13" s="221"/>
      <c r="B13" s="177" t="s">
        <v>477</v>
      </c>
      <c r="C13" s="178" t="s">
        <v>478</v>
      </c>
      <c r="D13" s="20">
        <f>H12</f>
        <v>140.46920525</v>
      </c>
      <c r="E13" s="180">
        <v>1</v>
      </c>
      <c r="F13" s="181">
        <v>1</v>
      </c>
      <c r="G13" s="183">
        <v>0.02</v>
      </c>
      <c r="H13" s="181">
        <f>PRODUCT(D13:G13)</f>
        <v>2.809384105</v>
      </c>
    </row>
    <row r="14" spans="1:8" ht="12.75">
      <c r="A14" s="221"/>
      <c r="B14" s="172"/>
      <c r="C14" s="173"/>
      <c r="D14" s="174"/>
      <c r="E14" s="175"/>
      <c r="F14" s="176"/>
      <c r="G14" s="28"/>
      <c r="H14" s="174">
        <f>SUM(H12:H13)</f>
        <v>143.27858935499998</v>
      </c>
    </row>
    <row r="15" spans="1:8" ht="12.75">
      <c r="A15" s="221"/>
      <c r="B15" s="172" t="s">
        <v>393</v>
      </c>
      <c r="C15" s="173"/>
      <c r="D15" s="174"/>
      <c r="E15" s="175"/>
      <c r="F15" s="176"/>
      <c r="G15" s="28"/>
      <c r="H15" s="174"/>
    </row>
    <row r="16" spans="1:8" ht="12.75">
      <c r="A16" s="221"/>
      <c r="B16" s="177" t="s">
        <v>479</v>
      </c>
      <c r="C16" s="178" t="s">
        <v>99</v>
      </c>
      <c r="D16" s="179">
        <f>D12</f>
        <v>572.6424999999999</v>
      </c>
      <c r="E16" s="180">
        <v>1</v>
      </c>
      <c r="F16" s="181">
        <v>1</v>
      </c>
      <c r="G16" s="182">
        <v>0.0937</v>
      </c>
      <c r="H16" s="181">
        <f>PRODUCT(D16:G16)</f>
        <v>53.65660225</v>
      </c>
    </row>
    <row r="17" spans="1:8" ht="12.75">
      <c r="A17" s="221"/>
      <c r="B17" s="177" t="s">
        <v>477</v>
      </c>
      <c r="C17" s="178" t="s">
        <v>478</v>
      </c>
      <c r="D17" s="20">
        <f>H16</f>
        <v>53.65660225</v>
      </c>
      <c r="E17" s="180">
        <v>1</v>
      </c>
      <c r="F17" s="181">
        <v>1</v>
      </c>
      <c r="G17" s="183">
        <v>0.02</v>
      </c>
      <c r="H17" s="181">
        <f>PRODUCT(D17:G17)</f>
        <v>1.073132045</v>
      </c>
    </row>
    <row r="18" spans="1:8" ht="12.75">
      <c r="A18" s="221"/>
      <c r="B18" s="172"/>
      <c r="C18" s="173"/>
      <c r="D18" s="174"/>
      <c r="E18" s="175"/>
      <c r="F18" s="176"/>
      <c r="G18" s="28"/>
      <c r="H18" s="174">
        <f>SUM(H16:H17)</f>
        <v>54.729734295</v>
      </c>
    </row>
    <row r="19" spans="1:8" ht="12.75">
      <c r="A19" s="221"/>
      <c r="B19" s="184" t="s">
        <v>480</v>
      </c>
      <c r="C19" s="185"/>
      <c r="D19" s="186"/>
      <c r="E19" s="26"/>
      <c r="F19" s="187"/>
      <c r="G19" s="134"/>
      <c r="H19" s="174"/>
    </row>
    <row r="20" spans="1:8" ht="12.75">
      <c r="A20" s="221"/>
      <c r="B20" s="177" t="s">
        <v>482</v>
      </c>
      <c r="C20" s="188" t="s">
        <v>99</v>
      </c>
      <c r="D20" s="20">
        <f>'Lista de recursos'!F189</f>
        <v>895.4267999999998</v>
      </c>
      <c r="E20" s="180">
        <v>1</v>
      </c>
      <c r="F20" s="181">
        <v>0.9064</v>
      </c>
      <c r="G20" s="182">
        <v>1</v>
      </c>
      <c r="H20" s="181">
        <f>PRODUCT(D20:G20)</f>
        <v>811.6148515199999</v>
      </c>
    </row>
    <row r="21" spans="1:8" ht="12.75">
      <c r="A21" s="221"/>
      <c r="B21" s="177" t="s">
        <v>481</v>
      </c>
      <c r="C21" s="188" t="s">
        <v>99</v>
      </c>
      <c r="D21" s="20">
        <f>'Lista de recursos'!F187</f>
        <v>716.0613</v>
      </c>
      <c r="E21" s="180">
        <v>1</v>
      </c>
      <c r="F21" s="181">
        <v>0.91</v>
      </c>
      <c r="G21" s="189">
        <v>1</v>
      </c>
      <c r="H21" s="181">
        <f>PRODUCT(D21:G21)</f>
        <v>651.615783</v>
      </c>
    </row>
    <row r="22" spans="1:8" ht="12.75">
      <c r="A22" s="221"/>
      <c r="B22" s="177" t="s">
        <v>477</v>
      </c>
      <c r="C22" s="27" t="s">
        <v>478</v>
      </c>
      <c r="D22" s="20">
        <f>SUM(H20:H21)</f>
        <v>1463.23063452</v>
      </c>
      <c r="E22" s="180">
        <v>1</v>
      </c>
      <c r="F22" s="181">
        <v>1</v>
      </c>
      <c r="G22" s="183">
        <v>0.02</v>
      </c>
      <c r="H22" s="181">
        <f>PRODUCT(D22:G22)</f>
        <v>29.2646126904</v>
      </c>
    </row>
    <row r="23" spans="1:8" ht="12.75">
      <c r="A23" s="221"/>
      <c r="B23" s="172"/>
      <c r="C23" s="173"/>
      <c r="D23" s="174"/>
      <c r="E23" s="175"/>
      <c r="F23" s="176"/>
      <c r="G23" s="28"/>
      <c r="H23" s="174">
        <f>SUM(H20:H22)</f>
        <v>1492.4952472104</v>
      </c>
    </row>
    <row r="24" spans="1:8" ht="12.75">
      <c r="A24" s="221"/>
      <c r="B24" s="184" t="s">
        <v>480</v>
      </c>
      <c r="C24" s="185"/>
      <c r="D24" s="186"/>
      <c r="E24" s="26"/>
      <c r="F24" s="187"/>
      <c r="G24" s="134"/>
      <c r="H24" s="174"/>
    </row>
    <row r="25" spans="1:8" ht="12.75">
      <c r="A25" s="221"/>
      <c r="B25" s="177" t="s">
        <v>481</v>
      </c>
      <c r="C25" s="188" t="s">
        <v>99</v>
      </c>
      <c r="D25" s="20">
        <f>D21</f>
        <v>716.0613</v>
      </c>
      <c r="E25" s="180">
        <v>1</v>
      </c>
      <c r="F25" s="181">
        <v>0.97</v>
      </c>
      <c r="G25" s="190">
        <f>1/10.76</f>
        <v>0.0929368029739777</v>
      </c>
      <c r="H25" s="181">
        <f>PRODUCT(D25:G25)</f>
        <v>64.55199451672863</v>
      </c>
    </row>
    <row r="26" spans="1:8" ht="12.75">
      <c r="A26" s="221"/>
      <c r="B26" s="177" t="s">
        <v>477</v>
      </c>
      <c r="C26" s="27" t="s">
        <v>478</v>
      </c>
      <c r="D26" s="20">
        <f>SUM(H25:H25)</f>
        <v>64.55199451672863</v>
      </c>
      <c r="E26" s="180">
        <v>1</v>
      </c>
      <c r="F26" s="181">
        <v>1</v>
      </c>
      <c r="G26" s="191">
        <f>0.02/10.76</f>
        <v>0.001858736059479554</v>
      </c>
      <c r="H26" s="181">
        <f>PRODUCT(D26:G26)</f>
        <v>0.11998511991956995</v>
      </c>
    </row>
    <row r="27" spans="1:8" ht="12.75">
      <c r="A27" s="221"/>
      <c r="B27" s="172"/>
      <c r="C27" s="173"/>
      <c r="D27" s="174"/>
      <c r="E27" s="175"/>
      <c r="F27" s="176"/>
      <c r="G27" s="28"/>
      <c r="H27" s="174">
        <f>SUM(H25:H26)</f>
        <v>64.6719796366482</v>
      </c>
    </row>
    <row r="28" spans="1:8" ht="12.75">
      <c r="A28" s="221"/>
      <c r="B28" s="184" t="s">
        <v>483</v>
      </c>
      <c r="C28" s="192"/>
      <c r="D28" s="193"/>
      <c r="E28" s="194"/>
      <c r="F28" s="134"/>
      <c r="G28" s="134"/>
      <c r="H28" s="174"/>
    </row>
    <row r="29" spans="1:8" ht="12.75">
      <c r="A29" s="221"/>
      <c r="B29" s="177" t="s">
        <v>482</v>
      </c>
      <c r="C29" s="178" t="s">
        <v>99</v>
      </c>
      <c r="D29" s="20">
        <f>'Lista de recursos'!F189</f>
        <v>895.4267999999998</v>
      </c>
      <c r="E29" s="180">
        <v>1</v>
      </c>
      <c r="F29" s="179">
        <v>0.85</v>
      </c>
      <c r="G29" s="195">
        <v>0.0712</v>
      </c>
      <c r="H29" s="181">
        <f>PRODUCT(D29:G29)</f>
        <v>54.191229935999985</v>
      </c>
    </row>
    <row r="30" spans="1:8" ht="12.75">
      <c r="A30" s="221"/>
      <c r="B30" s="177" t="s">
        <v>477</v>
      </c>
      <c r="C30" s="27" t="s">
        <v>478</v>
      </c>
      <c r="D30" s="20">
        <f>SUM(H29:H29)</f>
        <v>54.191229935999985</v>
      </c>
      <c r="E30" s="180">
        <v>1</v>
      </c>
      <c r="F30" s="196"/>
      <c r="G30" s="197">
        <v>0.01</v>
      </c>
      <c r="H30" s="181">
        <f>PRODUCT(D30:G30)</f>
        <v>0.5419122993599998</v>
      </c>
    </row>
    <row r="31" spans="1:8" ht="12.75">
      <c r="A31" s="221"/>
      <c r="B31" s="172"/>
      <c r="C31" s="173"/>
      <c r="D31" s="174"/>
      <c r="E31" s="175"/>
      <c r="F31" s="176"/>
      <c r="G31" s="28"/>
      <c r="H31" s="198">
        <f>SUM(H29:H30)</f>
        <v>54.733142235359985</v>
      </c>
    </row>
    <row r="32" spans="1:8" ht="25.5">
      <c r="A32" s="221"/>
      <c r="B32" s="184" t="s">
        <v>395</v>
      </c>
      <c r="C32" s="185"/>
      <c r="D32" s="186"/>
      <c r="E32" s="26"/>
      <c r="F32" s="187"/>
      <c r="G32" s="134"/>
      <c r="H32" s="174"/>
    </row>
    <row r="33" spans="1:8" ht="12.75">
      <c r="A33" s="221"/>
      <c r="B33" s="177" t="s">
        <v>482</v>
      </c>
      <c r="C33" s="188" t="s">
        <v>99</v>
      </c>
      <c r="D33" s="20">
        <f>'Lista de recursos'!F202</f>
        <v>575</v>
      </c>
      <c r="E33" s="180">
        <v>1</v>
      </c>
      <c r="F33" s="181">
        <v>1.15</v>
      </c>
      <c r="G33" s="182">
        <v>2</v>
      </c>
      <c r="H33" s="181">
        <f>PRODUCT(D33:G33)</f>
        <v>1322.5</v>
      </c>
    </row>
    <row r="34" spans="1:8" ht="12.75">
      <c r="A34" s="221"/>
      <c r="B34" s="177" t="s">
        <v>481</v>
      </c>
      <c r="C34" s="188" t="s">
        <v>99</v>
      </c>
      <c r="D34" s="20">
        <f>'Lista de recursos'!F200</f>
        <v>690</v>
      </c>
      <c r="E34" s="180">
        <v>1</v>
      </c>
      <c r="F34" s="181">
        <v>1.15</v>
      </c>
      <c r="G34" s="189">
        <v>2</v>
      </c>
      <c r="H34" s="181">
        <f>PRODUCT(D34:G34)</f>
        <v>1586.9999999999998</v>
      </c>
    </row>
    <row r="35" spans="1:8" ht="12.75">
      <c r="A35" s="221"/>
      <c r="B35" s="177" t="s">
        <v>477</v>
      </c>
      <c r="C35" s="27" t="s">
        <v>478</v>
      </c>
      <c r="D35" s="20">
        <f>SUM(H33:H34)</f>
        <v>2909.5</v>
      </c>
      <c r="E35" s="180">
        <v>1</v>
      </c>
      <c r="F35" s="181">
        <v>1</v>
      </c>
      <c r="G35" s="183">
        <v>0.02595</v>
      </c>
      <c r="H35" s="181">
        <f>PRODUCT(D35:G35)</f>
        <v>75.501525</v>
      </c>
    </row>
    <row r="36" spans="1:8" ht="12.75">
      <c r="A36" s="221"/>
      <c r="B36" s="172"/>
      <c r="C36" s="173"/>
      <c r="D36" s="174"/>
      <c r="E36" s="175"/>
      <c r="F36" s="176"/>
      <c r="G36" s="28"/>
      <c r="H36" s="174">
        <f>SUM(H33:H35)</f>
        <v>2985.001525</v>
      </c>
    </row>
    <row r="37" spans="1:8" ht="25.5">
      <c r="A37" s="221"/>
      <c r="B37" s="172" t="s">
        <v>484</v>
      </c>
      <c r="C37" s="173"/>
      <c r="D37" s="174"/>
      <c r="E37" s="175"/>
      <c r="F37" s="176"/>
      <c r="G37" s="28"/>
      <c r="H37" s="174"/>
    </row>
    <row r="38" spans="1:8" ht="12.75">
      <c r="A38" s="221"/>
      <c r="B38" s="21" t="s">
        <v>485</v>
      </c>
      <c r="C38" s="22" t="s">
        <v>15</v>
      </c>
      <c r="D38" s="23">
        <v>1472.16</v>
      </c>
      <c r="E38" s="180">
        <v>1</v>
      </c>
      <c r="F38" s="181">
        <v>1</v>
      </c>
      <c r="G38" s="25">
        <v>1</v>
      </c>
      <c r="H38" s="181">
        <f>PRODUCT(D38:G38)</f>
        <v>1472.16</v>
      </c>
    </row>
    <row r="39" spans="1:8" ht="12.75">
      <c r="A39" s="221"/>
      <c r="B39" s="21" t="s">
        <v>486</v>
      </c>
      <c r="C39" s="22" t="s">
        <v>15</v>
      </c>
      <c r="D39" s="23">
        <v>800</v>
      </c>
      <c r="E39" s="180">
        <v>1</v>
      </c>
      <c r="F39" s="181">
        <v>1</v>
      </c>
      <c r="G39" s="25">
        <v>1</v>
      </c>
      <c r="H39" s="181">
        <f>PRODUCT(D39:G39)</f>
        <v>800</v>
      </c>
    </row>
    <row r="40" spans="1:8" ht="12.75">
      <c r="A40" s="221"/>
      <c r="B40" s="21" t="s">
        <v>487</v>
      </c>
      <c r="C40" s="22" t="s">
        <v>15</v>
      </c>
      <c r="D40" s="23">
        <v>800</v>
      </c>
      <c r="E40" s="180">
        <v>1</v>
      </c>
      <c r="F40" s="181">
        <v>1</v>
      </c>
      <c r="G40" s="25">
        <v>1</v>
      </c>
      <c r="H40" s="181">
        <f>PRODUCT(D40:G40)</f>
        <v>800</v>
      </c>
    </row>
    <row r="41" spans="1:8" ht="12.75">
      <c r="A41" s="221"/>
      <c r="B41" s="21" t="s">
        <v>488</v>
      </c>
      <c r="C41" s="22" t="s">
        <v>21</v>
      </c>
      <c r="D41" s="23">
        <f>155</f>
        <v>155</v>
      </c>
      <c r="E41" s="180">
        <v>1</v>
      </c>
      <c r="F41" s="181">
        <v>1</v>
      </c>
      <c r="G41" s="25">
        <v>6</v>
      </c>
      <c r="H41" s="181">
        <f>PRODUCT(D41:G41)</f>
        <v>930</v>
      </c>
    </row>
    <row r="42" spans="1:8" ht="12.75">
      <c r="A42" s="221"/>
      <c r="B42" s="21" t="s">
        <v>489</v>
      </c>
      <c r="C42" s="22" t="s">
        <v>21</v>
      </c>
      <c r="D42" s="23">
        <v>955</v>
      </c>
      <c r="E42" s="180">
        <v>1</v>
      </c>
      <c r="F42" s="181">
        <v>1</v>
      </c>
      <c r="G42" s="25">
        <v>1</v>
      </c>
      <c r="H42" s="181">
        <f>PRODUCT(D42:G42)</f>
        <v>955</v>
      </c>
    </row>
    <row r="43" spans="1:8" ht="12.75">
      <c r="A43" s="221"/>
      <c r="B43" s="172"/>
      <c r="C43" s="173"/>
      <c r="D43" s="174"/>
      <c r="E43" s="175"/>
      <c r="F43" s="176"/>
      <c r="G43" s="28"/>
      <c r="H43" s="174">
        <f>SUM(H38:H42)</f>
        <v>4957.16</v>
      </c>
    </row>
    <row r="44" spans="1:8" ht="12.75">
      <c r="A44" s="221"/>
      <c r="B44" s="172" t="s">
        <v>396</v>
      </c>
      <c r="C44" s="173"/>
      <c r="D44" s="174"/>
      <c r="E44" s="175"/>
      <c r="F44" s="176"/>
      <c r="G44" s="28"/>
      <c r="H44" s="174"/>
    </row>
    <row r="45" spans="1:8" ht="12.75">
      <c r="A45" s="221"/>
      <c r="B45" s="21" t="s">
        <v>490</v>
      </c>
      <c r="C45" s="22" t="s">
        <v>8</v>
      </c>
      <c r="D45" s="23">
        <v>99.5</v>
      </c>
      <c r="E45" s="180">
        <v>1</v>
      </c>
      <c r="F45" s="181">
        <v>1</v>
      </c>
      <c r="G45" s="25">
        <v>1</v>
      </c>
      <c r="H45" s="181">
        <f>PRODUCT(D45:G45)</f>
        <v>99.5</v>
      </c>
    </row>
    <row r="46" spans="1:8" ht="12.75">
      <c r="A46" s="221"/>
      <c r="B46" s="172"/>
      <c r="C46" s="173"/>
      <c r="D46" s="174"/>
      <c r="E46" s="175"/>
      <c r="F46" s="176"/>
      <c r="G46" s="28"/>
      <c r="H46" s="174">
        <f>SUM(H45)</f>
        <v>99.5</v>
      </c>
    </row>
    <row r="47" spans="1:8" ht="12.75">
      <c r="A47" s="221"/>
      <c r="B47" s="172" t="s">
        <v>491</v>
      </c>
      <c r="C47" s="173"/>
      <c r="D47" s="174"/>
      <c r="E47" s="175"/>
      <c r="F47" s="176"/>
      <c r="G47" s="28"/>
      <c r="H47" s="174"/>
    </row>
    <row r="48" spans="1:8" ht="12.75">
      <c r="A48" s="221"/>
      <c r="B48" s="21" t="s">
        <v>492</v>
      </c>
      <c r="C48" s="22">
        <v>59.7</v>
      </c>
      <c r="D48" s="23">
        <v>59.7</v>
      </c>
      <c r="E48" s="180">
        <v>1</v>
      </c>
      <c r="F48" s="181">
        <v>1</v>
      </c>
      <c r="G48" s="25">
        <v>1</v>
      </c>
      <c r="H48" s="181">
        <f>PRODUCT(D48:G48)</f>
        <v>59.7</v>
      </c>
    </row>
    <row r="49" spans="1:8" ht="12.75">
      <c r="A49" s="221"/>
      <c r="B49" s="172"/>
      <c r="C49" s="173"/>
      <c r="D49" s="174"/>
      <c r="E49" s="175"/>
      <c r="F49" s="176"/>
      <c r="G49" s="28"/>
      <c r="H49" s="174">
        <f>SUM(H48)</f>
        <v>59.7</v>
      </c>
    </row>
    <row r="50" spans="1:8" ht="12.75">
      <c r="A50" s="221"/>
      <c r="B50" s="184" t="s">
        <v>612</v>
      </c>
      <c r="C50" s="199"/>
      <c r="D50" s="200"/>
      <c r="E50" s="201"/>
      <c r="F50" s="202"/>
      <c r="G50" s="28"/>
      <c r="H50" s="174"/>
    </row>
    <row r="51" spans="1:8" ht="12.75">
      <c r="A51" s="221"/>
      <c r="B51" s="177" t="s">
        <v>479</v>
      </c>
      <c r="C51" s="178" t="s">
        <v>99</v>
      </c>
      <c r="D51" s="179">
        <f>'Lista de recursos'!F148</f>
        <v>572.6424999999999</v>
      </c>
      <c r="E51" s="180">
        <v>1</v>
      </c>
      <c r="F51" s="181">
        <v>1</v>
      </c>
      <c r="G51" s="203">
        <v>0.243</v>
      </c>
      <c r="H51" s="181">
        <f>PRODUCT(D51:G51)</f>
        <v>139.15212749999998</v>
      </c>
    </row>
    <row r="52" spans="1:8" ht="12.75">
      <c r="A52" s="221"/>
      <c r="B52" s="177" t="s">
        <v>477</v>
      </c>
      <c r="C52" s="178" t="s">
        <v>478</v>
      </c>
      <c r="D52" s="179">
        <f>H51</f>
        <v>139.15212749999998</v>
      </c>
      <c r="E52" s="180">
        <v>1</v>
      </c>
      <c r="F52" s="181">
        <v>1</v>
      </c>
      <c r="G52" s="204">
        <v>0.03</v>
      </c>
      <c r="H52" s="181">
        <f>PRODUCT(D52:G52)</f>
        <v>4.174563824999999</v>
      </c>
    </row>
    <row r="53" spans="1:8" ht="12.75">
      <c r="A53" s="221"/>
      <c r="B53" s="172"/>
      <c r="C53" s="173"/>
      <c r="D53" s="174"/>
      <c r="E53" s="175"/>
      <c r="F53" s="176"/>
      <c r="G53" s="28"/>
      <c r="H53" s="205">
        <f>SUM(H51:H52)</f>
        <v>143.32669132499998</v>
      </c>
    </row>
    <row r="54" spans="1:8" ht="12.75">
      <c r="A54" s="221"/>
      <c r="B54" s="184" t="s">
        <v>439</v>
      </c>
      <c r="C54" s="199"/>
      <c r="D54" s="200"/>
      <c r="E54" s="201"/>
      <c r="F54" s="202"/>
      <c r="G54" s="28"/>
      <c r="H54" s="174"/>
    </row>
    <row r="55" spans="1:8" ht="12.75">
      <c r="A55" s="221"/>
      <c r="B55" s="177" t="s">
        <v>479</v>
      </c>
      <c r="C55" s="178" t="s">
        <v>99</v>
      </c>
      <c r="D55" s="179">
        <f>D51</f>
        <v>572.6424999999999</v>
      </c>
      <c r="E55" s="180">
        <v>1.012</v>
      </c>
      <c r="F55" s="181">
        <v>1</v>
      </c>
      <c r="G55" s="203">
        <v>3.5</v>
      </c>
      <c r="H55" s="181">
        <f>PRODUCT(D55:G55)</f>
        <v>2028.2997349999998</v>
      </c>
    </row>
    <row r="56" spans="1:8" ht="12.75">
      <c r="A56" s="221"/>
      <c r="B56" s="177" t="s">
        <v>477</v>
      </c>
      <c r="C56" s="178" t="s">
        <v>478</v>
      </c>
      <c r="D56" s="179">
        <f>H55</f>
        <v>2028.2997349999998</v>
      </c>
      <c r="E56" s="180">
        <v>1</v>
      </c>
      <c r="F56" s="181">
        <v>1</v>
      </c>
      <c r="G56" s="204">
        <v>0.03</v>
      </c>
      <c r="H56" s="181">
        <f>PRODUCT(D56:G56)</f>
        <v>60.84899204999999</v>
      </c>
    </row>
    <row r="57" spans="1:8" ht="12.75">
      <c r="A57" s="221"/>
      <c r="B57" s="177"/>
      <c r="C57" s="178"/>
      <c r="D57" s="179"/>
      <c r="E57" s="180"/>
      <c r="F57" s="181"/>
      <c r="G57" s="204"/>
      <c r="H57" s="205">
        <f>SUM(H55:H56)</f>
        <v>2089.1487270499997</v>
      </c>
    </row>
    <row r="58" spans="1:8" ht="12.75">
      <c r="A58" s="221"/>
      <c r="B58" s="184" t="s">
        <v>480</v>
      </c>
      <c r="C58" s="206"/>
      <c r="D58" s="207"/>
      <c r="E58" s="161"/>
      <c r="F58" s="134"/>
      <c r="G58" s="208"/>
      <c r="H58" s="181"/>
    </row>
    <row r="59" spans="1:8" ht="12.75">
      <c r="A59" s="221"/>
      <c r="B59" s="177" t="s">
        <v>614</v>
      </c>
      <c r="C59" s="188" t="s">
        <v>99</v>
      </c>
      <c r="D59" s="196">
        <f>'Lista de recursos'!F188</f>
        <v>881.8199999999999</v>
      </c>
      <c r="E59" s="209">
        <v>1.087</v>
      </c>
      <c r="F59" s="181">
        <v>1</v>
      </c>
      <c r="G59" s="179">
        <v>0.25</v>
      </c>
      <c r="H59" s="181">
        <f>PRODUCT(D59:G59)</f>
        <v>239.634585</v>
      </c>
    </row>
    <row r="60" spans="1:8" ht="12.75">
      <c r="A60" s="221"/>
      <c r="B60" s="177" t="s">
        <v>481</v>
      </c>
      <c r="C60" s="188" t="s">
        <v>99</v>
      </c>
      <c r="D60" s="179">
        <f>'Lista de recursos'!F187</f>
        <v>716.0613</v>
      </c>
      <c r="E60" s="209">
        <v>1.087</v>
      </c>
      <c r="F60" s="181">
        <v>1</v>
      </c>
      <c r="G60" s="210">
        <v>0.25</v>
      </c>
      <c r="H60" s="181">
        <f>PRODUCT(D60:G60)</f>
        <v>194.58965827499998</v>
      </c>
    </row>
    <row r="61" spans="1:8" ht="12.75">
      <c r="A61" s="221"/>
      <c r="B61" s="177" t="s">
        <v>477</v>
      </c>
      <c r="C61" s="162" t="s">
        <v>478</v>
      </c>
      <c r="D61" s="20">
        <f>SUM(H59:H60)</f>
        <v>434.22424327499994</v>
      </c>
      <c r="E61" s="209">
        <v>1</v>
      </c>
      <c r="F61" s="181">
        <v>1</v>
      </c>
      <c r="G61" s="211">
        <v>0.03</v>
      </c>
      <c r="H61" s="181">
        <f>PRODUCT(D61:G61)</f>
        <v>13.026727298249998</v>
      </c>
    </row>
    <row r="62" spans="1:8" ht="12.75">
      <c r="A62" s="221"/>
      <c r="B62" s="212"/>
      <c r="C62" s="213"/>
      <c r="D62" s="214"/>
      <c r="E62" s="161"/>
      <c r="F62" s="179"/>
      <c r="G62" s="135"/>
      <c r="H62" s="179">
        <f>SUM(H59:H61)</f>
        <v>447.25097057324996</v>
      </c>
    </row>
    <row r="63" spans="1:8" ht="12.75">
      <c r="A63" s="221"/>
      <c r="B63" s="212"/>
      <c r="C63" s="213"/>
      <c r="D63" s="214"/>
      <c r="E63" s="161"/>
      <c r="F63" s="215"/>
      <c r="G63" s="208"/>
      <c r="H63" s="181"/>
    </row>
    <row r="64" spans="1:8" ht="12.75">
      <c r="A64" s="221"/>
      <c r="B64" s="184" t="s">
        <v>613</v>
      </c>
      <c r="C64" s="179"/>
      <c r="D64" s="200"/>
      <c r="E64" s="201"/>
      <c r="F64" s="134"/>
      <c r="G64" s="208"/>
      <c r="H64" s="181"/>
    </row>
    <row r="65" spans="1:8" ht="12.75">
      <c r="A65" s="221"/>
      <c r="B65" s="177" t="s">
        <v>614</v>
      </c>
      <c r="C65" s="178" t="s">
        <v>99</v>
      </c>
      <c r="D65" s="20">
        <f>D59</f>
        <v>881.8199999999999</v>
      </c>
      <c r="E65" s="209">
        <v>1</v>
      </c>
      <c r="F65" s="181">
        <v>1</v>
      </c>
      <c r="G65" s="182">
        <v>0.15</v>
      </c>
      <c r="H65" s="181">
        <f>PRODUCT(D65:G65)</f>
        <v>132.273</v>
      </c>
    </row>
    <row r="66" spans="1:8" ht="12.75">
      <c r="A66" s="221"/>
      <c r="B66" s="177" t="s">
        <v>481</v>
      </c>
      <c r="C66" s="178" t="s">
        <v>99</v>
      </c>
      <c r="D66" s="20">
        <f>D60</f>
        <v>716.0613</v>
      </c>
      <c r="E66" s="209">
        <v>1</v>
      </c>
      <c r="F66" s="181">
        <v>1</v>
      </c>
      <c r="G66" s="189">
        <v>0.15</v>
      </c>
      <c r="H66" s="181">
        <f>PRODUCT(D66:G66)</f>
        <v>107.409195</v>
      </c>
    </row>
    <row r="67" spans="1:8" ht="12.75">
      <c r="A67" s="221"/>
      <c r="B67" s="177" t="s">
        <v>477</v>
      </c>
      <c r="C67" s="162" t="s">
        <v>478</v>
      </c>
      <c r="D67" s="20">
        <f>SUM(H65:H66)</f>
        <v>239.68219499999998</v>
      </c>
      <c r="E67" s="209">
        <v>1</v>
      </c>
      <c r="F67" s="181">
        <v>1</v>
      </c>
      <c r="G67" s="216">
        <v>0.0368</v>
      </c>
      <c r="H67" s="181">
        <f>PRODUCT(D67:G67)</f>
        <v>8.820304775999999</v>
      </c>
    </row>
    <row r="68" spans="1:8" ht="12.75">
      <c r="A68" s="221"/>
      <c r="B68" s="177"/>
      <c r="C68" s="178"/>
      <c r="D68" s="179"/>
      <c r="E68" s="180"/>
      <c r="F68" s="181"/>
      <c r="G68" s="204"/>
      <c r="H68" s="202">
        <f>SUM(H65:H67)</f>
        <v>248.50249977599998</v>
      </c>
    </row>
    <row r="69" spans="1:8" ht="25.5">
      <c r="A69" s="221"/>
      <c r="B69" s="172" t="s">
        <v>397</v>
      </c>
      <c r="C69" s="173"/>
      <c r="D69" s="174"/>
      <c r="E69" s="175"/>
      <c r="F69" s="176"/>
      <c r="G69" s="28"/>
      <c r="H69" s="174"/>
    </row>
    <row r="70" spans="1:8" ht="25.5">
      <c r="A70" s="221"/>
      <c r="B70" s="21" t="s">
        <v>397</v>
      </c>
      <c r="C70" s="22" t="s">
        <v>8</v>
      </c>
      <c r="D70" s="23">
        <v>104.48</v>
      </c>
      <c r="E70" s="217">
        <v>1</v>
      </c>
      <c r="F70" s="218">
        <v>1</v>
      </c>
      <c r="G70" s="25">
        <v>1</v>
      </c>
      <c r="H70" s="218">
        <f>PRODUCT(D70:G70)</f>
        <v>104.48</v>
      </c>
    </row>
    <row r="71" spans="1:8" ht="12.75">
      <c r="A71" s="221"/>
      <c r="B71" s="172"/>
      <c r="C71" s="173"/>
      <c r="D71" s="174"/>
      <c r="E71" s="175"/>
      <c r="F71" s="176"/>
      <c r="G71" s="28"/>
      <c r="H71" s="174">
        <f>SUM(H70)</f>
        <v>104.48</v>
      </c>
    </row>
    <row r="72" spans="1:12" s="9" customFormat="1" ht="12.75">
      <c r="A72" s="19"/>
      <c r="B72" s="175" t="s">
        <v>205</v>
      </c>
      <c r="C72" s="22"/>
      <c r="D72" s="23"/>
      <c r="E72" s="24"/>
      <c r="F72" s="29"/>
      <c r="G72" s="25"/>
      <c r="H72" s="23"/>
      <c r="J72" s="17"/>
      <c r="L72" s="18"/>
    </row>
    <row r="73" spans="1:12" s="9" customFormat="1" ht="12.75">
      <c r="A73" s="24"/>
      <c r="B73" s="21" t="s">
        <v>205</v>
      </c>
      <c r="C73" s="22" t="s">
        <v>7</v>
      </c>
      <c r="D73" s="23">
        <f>'Lista de recursos'!F203-49.75</f>
        <v>422.88</v>
      </c>
      <c r="E73" s="24">
        <v>1</v>
      </c>
      <c r="F73" s="29">
        <v>1</v>
      </c>
      <c r="G73" s="25">
        <v>1</v>
      </c>
      <c r="H73" s="23">
        <f>PRODUCT(D73:G73)</f>
        <v>422.88</v>
      </c>
      <c r="J73" s="17"/>
      <c r="L73" s="18"/>
    </row>
    <row r="74" spans="1:12" s="9" customFormat="1" ht="12.75">
      <c r="A74" s="24"/>
      <c r="B74" s="21"/>
      <c r="C74" s="22"/>
      <c r="D74" s="23"/>
      <c r="E74" s="24"/>
      <c r="F74" s="29"/>
      <c r="G74" s="25"/>
      <c r="H74" s="23">
        <f>SUM(H73)</f>
        <v>422.88</v>
      </c>
      <c r="J74" s="17"/>
      <c r="L74" s="18"/>
    </row>
    <row r="75" spans="1:12" s="9" customFormat="1" ht="12.75">
      <c r="A75" s="19"/>
      <c r="B75" s="175" t="s">
        <v>399</v>
      </c>
      <c r="C75" s="22"/>
      <c r="D75" s="23"/>
      <c r="E75" s="24"/>
      <c r="F75" s="29"/>
      <c r="G75" s="25"/>
      <c r="H75" s="23"/>
      <c r="J75" s="17"/>
      <c r="L75" s="18"/>
    </row>
    <row r="76" spans="1:12" s="9" customFormat="1" ht="12.75">
      <c r="A76" s="24"/>
      <c r="B76" s="21" t="s">
        <v>493</v>
      </c>
      <c r="C76" s="22" t="s">
        <v>7</v>
      </c>
      <c r="D76" s="23">
        <f>'Lista de recursos'!F17</f>
        <v>782.75</v>
      </c>
      <c r="E76" s="24">
        <v>1</v>
      </c>
      <c r="F76" s="29">
        <v>1.30078</v>
      </c>
      <c r="G76" s="25">
        <v>1</v>
      </c>
      <c r="H76" s="23">
        <f>PRODUCT(D76:G76)</f>
        <v>1018.185545</v>
      </c>
      <c r="J76" s="17"/>
      <c r="L76" s="18"/>
    </row>
    <row r="77" spans="1:12" s="9" customFormat="1" ht="12.75">
      <c r="A77" s="24"/>
      <c r="B77" s="21" t="s">
        <v>216</v>
      </c>
      <c r="C77" s="22" t="s">
        <v>4</v>
      </c>
      <c r="D77" s="23">
        <f>'Lista de recursos'!F204</f>
        <v>104.719</v>
      </c>
      <c r="E77" s="24">
        <v>1</v>
      </c>
      <c r="F77" s="29">
        <v>1</v>
      </c>
      <c r="G77" s="25">
        <v>1</v>
      </c>
      <c r="H77" s="23">
        <f>PRODUCT(D77:G77)</f>
        <v>104.719</v>
      </c>
      <c r="J77" s="17"/>
      <c r="L77" s="18"/>
    </row>
    <row r="78" spans="1:12" s="9" customFormat="1" ht="12.75">
      <c r="A78" s="24"/>
      <c r="B78" s="21"/>
      <c r="C78" s="22"/>
      <c r="D78" s="23"/>
      <c r="E78" s="24"/>
      <c r="F78" s="29"/>
      <c r="G78" s="25"/>
      <c r="H78" s="23">
        <f>SUM(H76:H77)</f>
        <v>1122.904545</v>
      </c>
      <c r="J78" s="17"/>
      <c r="L78" s="18"/>
    </row>
    <row r="79" spans="1:12" s="9" customFormat="1" ht="12.75">
      <c r="A79" s="19"/>
      <c r="B79" s="175" t="s">
        <v>5</v>
      </c>
      <c r="C79" s="22"/>
      <c r="D79" s="23"/>
      <c r="E79" s="24"/>
      <c r="F79" s="29"/>
      <c r="G79" s="25"/>
      <c r="H79" s="23"/>
      <c r="J79" s="17"/>
      <c r="L79" s="18"/>
    </row>
    <row r="80" spans="1:12" s="9" customFormat="1" ht="12.75">
      <c r="A80" s="24"/>
      <c r="B80" s="21" t="s">
        <v>204</v>
      </c>
      <c r="C80" s="22" t="s">
        <v>7</v>
      </c>
      <c r="D80" s="23">
        <f>'Lista de recursos'!F147</f>
        <v>414.59</v>
      </c>
      <c r="E80" s="24">
        <v>1</v>
      </c>
      <c r="F80" s="29">
        <v>1</v>
      </c>
      <c r="G80" s="25">
        <v>1</v>
      </c>
      <c r="H80" s="23">
        <f>PRODUCT(D80:G80)</f>
        <v>414.59</v>
      </c>
      <c r="J80" s="17"/>
      <c r="L80" s="18"/>
    </row>
    <row r="81" spans="1:12" s="9" customFormat="1" ht="12.75">
      <c r="A81" s="24"/>
      <c r="B81" s="21"/>
      <c r="C81" s="22"/>
      <c r="D81" s="23"/>
      <c r="E81" s="24"/>
      <c r="F81" s="29"/>
      <c r="G81" s="25"/>
      <c r="H81" s="23">
        <f>SUM(H80)</f>
        <v>414.59</v>
      </c>
      <c r="J81" s="17"/>
      <c r="L81" s="18"/>
    </row>
    <row r="82" spans="1:12" s="9" customFormat="1" ht="12.75">
      <c r="A82" s="19"/>
      <c r="B82" s="175" t="s">
        <v>6</v>
      </c>
      <c r="C82" s="22"/>
      <c r="D82" s="23"/>
      <c r="E82" s="24"/>
      <c r="F82" s="29"/>
      <c r="G82" s="25"/>
      <c r="H82" s="23"/>
      <c r="J82" s="17"/>
      <c r="L82" s="18"/>
    </row>
    <row r="83" spans="1:12" s="9" customFormat="1" ht="12.75">
      <c r="A83" s="24"/>
      <c r="B83" s="21" t="s">
        <v>79</v>
      </c>
      <c r="C83" s="22" t="s">
        <v>73</v>
      </c>
      <c r="D83" s="23">
        <f>'Lista de recursos'!F148</f>
        <v>572.6424999999999</v>
      </c>
      <c r="E83" s="24">
        <v>1</v>
      </c>
      <c r="F83" s="29">
        <v>1</v>
      </c>
      <c r="G83" s="25">
        <v>0.1</v>
      </c>
      <c r="H83" s="23">
        <f>PRODUCT(D83:G83)</f>
        <v>57.26425</v>
      </c>
      <c r="J83" s="17"/>
      <c r="L83" s="18"/>
    </row>
    <row r="84" spans="1:12" s="9" customFormat="1" ht="25.5">
      <c r="A84" s="24"/>
      <c r="B84" s="21" t="s">
        <v>217</v>
      </c>
      <c r="C84" s="22" t="s">
        <v>218</v>
      </c>
      <c r="D84" s="23">
        <f>'Lista de recursos'!D23</f>
        <v>402.54237288135596</v>
      </c>
      <c r="E84" s="24">
        <v>1</v>
      </c>
      <c r="F84" s="29">
        <v>1</v>
      </c>
      <c r="G84" s="25">
        <v>0.1</v>
      </c>
      <c r="H84" s="23">
        <f>PRODUCT(D84:G84)</f>
        <v>40.2542372881356</v>
      </c>
      <c r="J84" s="17"/>
      <c r="L84" s="18"/>
    </row>
    <row r="85" spans="1:12" s="9" customFormat="1" ht="12.75">
      <c r="A85" s="24"/>
      <c r="B85" s="21" t="s">
        <v>66</v>
      </c>
      <c r="C85" s="22" t="s">
        <v>67</v>
      </c>
      <c r="D85" s="23">
        <f>'Lista de recursos'!D71</f>
        <v>0.3018262711864406</v>
      </c>
      <c r="E85" s="24">
        <v>1</v>
      </c>
      <c r="F85" s="29">
        <v>1</v>
      </c>
      <c r="G85" s="25">
        <v>35</v>
      </c>
      <c r="H85" s="23">
        <f>PRODUCT(D85:G85)</f>
        <v>10.563919491525422</v>
      </c>
      <c r="J85" s="17"/>
      <c r="L85" s="18"/>
    </row>
    <row r="86" spans="1:12" s="9" customFormat="1" ht="12.75">
      <c r="A86" s="24"/>
      <c r="B86" s="21"/>
      <c r="C86" s="22"/>
      <c r="D86" s="23"/>
      <c r="E86" s="24"/>
      <c r="F86" s="29"/>
      <c r="G86" s="25"/>
      <c r="H86" s="23">
        <f>SUM(H83:H85)</f>
        <v>108.08240677966101</v>
      </c>
      <c r="J86" s="17"/>
      <c r="L86" s="18"/>
    </row>
    <row r="87" spans="1:12" s="9" customFormat="1" ht="12.75">
      <c r="A87" s="19"/>
      <c r="B87" s="175" t="s">
        <v>440</v>
      </c>
      <c r="C87" s="22"/>
      <c r="D87" s="23"/>
      <c r="E87" s="24"/>
      <c r="F87" s="29"/>
      <c r="G87" s="25"/>
      <c r="H87" s="23"/>
      <c r="J87" s="17"/>
      <c r="L87" s="18"/>
    </row>
    <row r="88" spans="1:12" s="9" customFormat="1" ht="25.5">
      <c r="A88" s="24"/>
      <c r="B88" s="21" t="s">
        <v>440</v>
      </c>
      <c r="C88" s="22" t="s">
        <v>13</v>
      </c>
      <c r="D88" s="23">
        <f>'Lista de recursos'!F53</f>
        <v>25.4513898305085</v>
      </c>
      <c r="E88" s="24">
        <v>1</v>
      </c>
      <c r="F88" s="29">
        <v>1</v>
      </c>
      <c r="G88" s="25">
        <v>1</v>
      </c>
      <c r="H88" s="23">
        <f>PRODUCT(D88:G88)</f>
        <v>25.4513898305085</v>
      </c>
      <c r="J88" s="17"/>
      <c r="L88" s="18"/>
    </row>
    <row r="89" spans="1:12" s="9" customFormat="1" ht="12.75">
      <c r="A89" s="24"/>
      <c r="B89" s="21"/>
      <c r="C89" s="22"/>
      <c r="D89" s="23"/>
      <c r="E89" s="24"/>
      <c r="F89" s="29"/>
      <c r="G89" s="25"/>
      <c r="H89" s="23">
        <f>SUM(H88)</f>
        <v>25.4513898305085</v>
      </c>
      <c r="J89" s="17"/>
      <c r="L89" s="18"/>
    </row>
    <row r="90" spans="1:12" s="9" customFormat="1" ht="12.75">
      <c r="A90" s="24"/>
      <c r="B90" s="172" t="s">
        <v>616</v>
      </c>
      <c r="C90" s="22"/>
      <c r="D90" s="23"/>
      <c r="E90" s="24"/>
      <c r="F90" s="29"/>
      <c r="G90" s="25"/>
      <c r="H90" s="23"/>
      <c r="J90" s="17"/>
      <c r="L90" s="18"/>
    </row>
    <row r="91" spans="1:12" s="9" customFormat="1" ht="12.75">
      <c r="A91" s="24"/>
      <c r="B91" s="21" t="s">
        <v>616</v>
      </c>
      <c r="C91" s="22" t="s">
        <v>7</v>
      </c>
      <c r="D91" s="23">
        <v>199</v>
      </c>
      <c r="E91" s="24">
        <v>1</v>
      </c>
      <c r="F91" s="29">
        <v>1</v>
      </c>
      <c r="G91" s="25">
        <v>1</v>
      </c>
      <c r="H91" s="23">
        <f>PRODUCT(D91:G91)</f>
        <v>199</v>
      </c>
      <c r="J91" s="17"/>
      <c r="L91" s="18"/>
    </row>
    <row r="92" spans="1:12" s="9" customFormat="1" ht="12.75">
      <c r="A92" s="24"/>
      <c r="B92" s="21"/>
      <c r="C92" s="22"/>
      <c r="D92" s="23"/>
      <c r="E92" s="24"/>
      <c r="F92" s="29"/>
      <c r="G92" s="25"/>
      <c r="H92" s="23">
        <f>SUM(H91)</f>
        <v>199</v>
      </c>
      <c r="J92" s="17"/>
      <c r="L92" s="18"/>
    </row>
    <row r="93" spans="1:12" s="9" customFormat="1" ht="12.75">
      <c r="A93" s="24"/>
      <c r="B93" s="175" t="s">
        <v>617</v>
      </c>
      <c r="C93" s="22"/>
      <c r="D93" s="23"/>
      <c r="E93" s="24"/>
      <c r="F93" s="29"/>
      <c r="G93" s="25"/>
      <c r="H93" s="23"/>
      <c r="J93" s="17"/>
      <c r="L93" s="18"/>
    </row>
    <row r="94" spans="1:12" s="9" customFormat="1" ht="12.75">
      <c r="A94" s="24"/>
      <c r="B94" s="21" t="s">
        <v>204</v>
      </c>
      <c r="C94" s="22" t="s">
        <v>7</v>
      </c>
      <c r="D94" s="23">
        <v>248.75</v>
      </c>
      <c r="E94" s="24">
        <v>1</v>
      </c>
      <c r="F94" s="29">
        <v>1</v>
      </c>
      <c r="G94" s="25">
        <v>1</v>
      </c>
      <c r="H94" s="23">
        <f>PRODUCT(D94:G94)</f>
        <v>248.75</v>
      </c>
      <c r="J94" s="17"/>
      <c r="L94" s="18"/>
    </row>
    <row r="95" spans="1:12" s="9" customFormat="1" ht="12.75">
      <c r="A95" s="24"/>
      <c r="B95" s="21"/>
      <c r="C95" s="22"/>
      <c r="D95" s="23"/>
      <c r="E95" s="24"/>
      <c r="F95" s="29"/>
      <c r="G95" s="25"/>
      <c r="H95" s="23">
        <f>SUM(H94)</f>
        <v>248.75</v>
      </c>
      <c r="J95" s="17"/>
      <c r="L95" s="18"/>
    </row>
    <row r="96" spans="1:12" s="9" customFormat="1" ht="12.75">
      <c r="A96" s="19"/>
      <c r="B96" s="175" t="s">
        <v>22</v>
      </c>
      <c r="C96" s="22"/>
      <c r="D96" s="23"/>
      <c r="E96" s="24"/>
      <c r="F96" s="29"/>
      <c r="G96" s="25"/>
      <c r="H96" s="23"/>
      <c r="J96" s="17"/>
      <c r="L96" s="18"/>
    </row>
    <row r="97" spans="1:12" s="9" customFormat="1" ht="12.75">
      <c r="A97" s="24"/>
      <c r="B97" s="21" t="s">
        <v>72</v>
      </c>
      <c r="C97" s="22" t="s">
        <v>73</v>
      </c>
      <c r="D97" s="23">
        <f>'Lista de recursos'!F149</f>
        <v>736.6324999999999</v>
      </c>
      <c r="E97" s="24">
        <v>1</v>
      </c>
      <c r="F97" s="29">
        <v>1</v>
      </c>
      <c r="G97" s="25">
        <v>0.0105</v>
      </c>
      <c r="H97" s="23">
        <f aca="true" t="shared" si="0" ref="H97:H104">PRODUCT(D97:G97)</f>
        <v>7.73464125</v>
      </c>
      <c r="J97" s="17"/>
      <c r="L97" s="18"/>
    </row>
    <row r="98" spans="1:12" s="9" customFormat="1" ht="12.75">
      <c r="A98" s="24"/>
      <c r="B98" s="21" t="s">
        <v>75</v>
      </c>
      <c r="C98" s="22" t="s">
        <v>73</v>
      </c>
      <c r="D98" s="23">
        <f>'Lista de recursos'!F150</f>
        <v>1719.2499999999998</v>
      </c>
      <c r="E98" s="24">
        <v>1</v>
      </c>
      <c r="F98" s="29">
        <v>1</v>
      </c>
      <c r="G98" s="25">
        <v>0.0105</v>
      </c>
      <c r="H98" s="23">
        <f t="shared" si="0"/>
        <v>18.052125</v>
      </c>
      <c r="J98" s="17"/>
      <c r="L98" s="18"/>
    </row>
    <row r="99" spans="1:12" s="9" customFormat="1" ht="12.75">
      <c r="A99" s="24"/>
      <c r="B99" s="21" t="s">
        <v>223</v>
      </c>
      <c r="C99" s="22" t="s">
        <v>224</v>
      </c>
      <c r="D99" s="23">
        <f>'Lista de recursos'!F145</f>
        <v>956.1675</v>
      </c>
      <c r="E99" s="24">
        <v>1</v>
      </c>
      <c r="F99" s="29">
        <v>1</v>
      </c>
      <c r="G99" s="25">
        <v>0.0105</v>
      </c>
      <c r="H99" s="23">
        <f t="shared" si="0"/>
        <v>10.03975875</v>
      </c>
      <c r="J99" s="17"/>
      <c r="L99" s="18"/>
    </row>
    <row r="100" spans="1:12" s="9" customFormat="1" ht="12.75">
      <c r="A100" s="24"/>
      <c r="B100" s="21" t="s">
        <v>82</v>
      </c>
      <c r="C100" s="22" t="s">
        <v>65</v>
      </c>
      <c r="D100" s="23">
        <f>'Lista de recursos'!F30</f>
        <v>292.05307999999997</v>
      </c>
      <c r="E100" s="24">
        <v>1</v>
      </c>
      <c r="F100" s="29">
        <v>1</v>
      </c>
      <c r="G100" s="25">
        <v>0.0286</v>
      </c>
      <c r="H100" s="23">
        <f t="shared" si="0"/>
        <v>8.352718088</v>
      </c>
      <c r="J100" s="17"/>
      <c r="L100" s="18"/>
    </row>
    <row r="101" spans="1:12" s="9" customFormat="1" ht="12.75">
      <c r="A101" s="24"/>
      <c r="B101" s="21" t="s">
        <v>91</v>
      </c>
      <c r="C101" s="22" t="s">
        <v>92</v>
      </c>
      <c r="D101" s="23">
        <f>'Lista de recursos'!F55</f>
        <v>42.55</v>
      </c>
      <c r="E101" s="24">
        <v>1</v>
      </c>
      <c r="F101" s="29">
        <v>0.35</v>
      </c>
      <c r="G101" s="25">
        <f>1.3895*0.5</f>
        <v>0.69475</v>
      </c>
      <c r="H101" s="23">
        <f>PRODUCT(D101:G101)</f>
        <v>10.346564374999998</v>
      </c>
      <c r="J101" s="17"/>
      <c r="L101" s="18"/>
    </row>
    <row r="102" spans="1:12" s="9" customFormat="1" ht="12.75">
      <c r="A102" s="24"/>
      <c r="B102" s="21" t="s">
        <v>225</v>
      </c>
      <c r="C102" s="22" t="s">
        <v>15</v>
      </c>
      <c r="D102" s="23">
        <f>'Lista de recursos'!F69</f>
        <v>213.69736999999998</v>
      </c>
      <c r="E102" s="24">
        <v>1</v>
      </c>
      <c r="F102" s="29">
        <v>1</v>
      </c>
      <c r="G102" s="25">
        <v>0.0036</v>
      </c>
      <c r="H102" s="23">
        <f t="shared" si="0"/>
        <v>0.7693105319999999</v>
      </c>
      <c r="J102" s="17"/>
      <c r="L102" s="18"/>
    </row>
    <row r="103" spans="1:12" s="9" customFormat="1" ht="12.75">
      <c r="A103" s="24"/>
      <c r="B103" s="21" t="s">
        <v>102</v>
      </c>
      <c r="C103" s="22" t="s">
        <v>103</v>
      </c>
      <c r="D103" s="23">
        <f>'Lista de recursos'!F70</f>
        <v>42.739405</v>
      </c>
      <c r="E103" s="24">
        <v>1</v>
      </c>
      <c r="F103" s="29">
        <v>1</v>
      </c>
      <c r="G103" s="25">
        <v>0.0754</v>
      </c>
      <c r="H103" s="23">
        <f t="shared" si="0"/>
        <v>3.2225511369999995</v>
      </c>
      <c r="J103" s="17"/>
      <c r="L103" s="18"/>
    </row>
    <row r="104" spans="1:12" s="9" customFormat="1" ht="12.75">
      <c r="A104" s="24"/>
      <c r="B104" s="21" t="s">
        <v>226</v>
      </c>
      <c r="C104" s="22" t="s">
        <v>8</v>
      </c>
      <c r="D104" s="23">
        <f>'Lista de recursos'!F133</f>
        <v>21.895194999999998</v>
      </c>
      <c r="E104" s="24">
        <v>1</v>
      </c>
      <c r="F104" s="29">
        <v>1</v>
      </c>
      <c r="G104" s="25">
        <v>1</v>
      </c>
      <c r="H104" s="23">
        <f t="shared" si="0"/>
        <v>21.895194999999998</v>
      </c>
      <c r="J104" s="17"/>
      <c r="L104" s="18"/>
    </row>
    <row r="105" spans="1:12" s="9" customFormat="1" ht="12.75">
      <c r="A105" s="24"/>
      <c r="B105" s="21"/>
      <c r="C105" s="22"/>
      <c r="D105" s="23"/>
      <c r="E105" s="24"/>
      <c r="F105" s="29"/>
      <c r="G105" s="25"/>
      <c r="H105" s="23">
        <f>SUM(H97:H104)</f>
        <v>80.412864132</v>
      </c>
      <c r="J105" s="17"/>
      <c r="L105" s="18"/>
    </row>
    <row r="106" spans="1:12" s="9" customFormat="1" ht="12.75">
      <c r="A106" s="19"/>
      <c r="B106" s="175" t="s">
        <v>23</v>
      </c>
      <c r="C106" s="22"/>
      <c r="D106" s="23"/>
      <c r="E106" s="24"/>
      <c r="F106" s="29"/>
      <c r="G106" s="25"/>
      <c r="H106" s="23"/>
      <c r="J106" s="17"/>
      <c r="L106" s="18"/>
    </row>
    <row r="107" spans="1:12" s="9" customFormat="1" ht="12.75">
      <c r="A107" s="24"/>
      <c r="B107" s="21" t="s">
        <v>227</v>
      </c>
      <c r="C107" s="22" t="s">
        <v>224</v>
      </c>
      <c r="D107" s="23">
        <f>'Lista de recursos'!F148</f>
        <v>572.6424999999999</v>
      </c>
      <c r="E107" s="24">
        <v>1</v>
      </c>
      <c r="F107" s="29">
        <v>1</v>
      </c>
      <c r="G107" s="25">
        <v>8</v>
      </c>
      <c r="H107" s="23">
        <f aca="true" t="shared" si="1" ref="H107:H121">PRODUCT(D107:G107)</f>
        <v>4581.139999999999</v>
      </c>
      <c r="J107" s="17"/>
      <c r="L107" s="18"/>
    </row>
    <row r="108" spans="1:12" s="9" customFormat="1" ht="12.75">
      <c r="A108" s="24"/>
      <c r="B108" s="21" t="s">
        <v>223</v>
      </c>
      <c r="C108" s="22" t="s">
        <v>224</v>
      </c>
      <c r="D108" s="23">
        <f>D99</f>
        <v>956.1675</v>
      </c>
      <c r="E108" s="24">
        <v>1</v>
      </c>
      <c r="F108" s="29">
        <v>1</v>
      </c>
      <c r="G108" s="25">
        <v>8</v>
      </c>
      <c r="H108" s="23">
        <f t="shared" si="1"/>
        <v>7649.34</v>
      </c>
      <c r="J108" s="17"/>
      <c r="L108" s="18"/>
    </row>
    <row r="109" spans="1:12" s="9" customFormat="1" ht="12.75">
      <c r="A109" s="24"/>
      <c r="B109" s="21" t="s">
        <v>119</v>
      </c>
      <c r="C109" s="22" t="s">
        <v>120</v>
      </c>
      <c r="D109" s="23">
        <f>'Lista de recursos'!D33</f>
        <v>190.04237288135593</v>
      </c>
      <c r="E109" s="24">
        <v>1</v>
      </c>
      <c r="F109" s="29">
        <v>1</v>
      </c>
      <c r="G109" s="25">
        <v>8</v>
      </c>
      <c r="H109" s="23">
        <f t="shared" si="1"/>
        <v>1520.3389830508474</v>
      </c>
      <c r="J109" s="17"/>
      <c r="L109" s="18"/>
    </row>
    <row r="110" spans="1:12" s="9" customFormat="1" ht="12.75">
      <c r="A110" s="24"/>
      <c r="B110" s="21" t="s">
        <v>228</v>
      </c>
      <c r="C110" s="22" t="s">
        <v>15</v>
      </c>
      <c r="D110" s="23">
        <f>'Lista de recursos'!D35</f>
        <v>72.03389830508475</v>
      </c>
      <c r="E110" s="24">
        <v>1</v>
      </c>
      <c r="F110" s="29">
        <v>1</v>
      </c>
      <c r="G110" s="25">
        <v>7</v>
      </c>
      <c r="H110" s="23">
        <f t="shared" si="1"/>
        <v>504.23728813559325</v>
      </c>
      <c r="J110" s="17"/>
      <c r="L110" s="18"/>
    </row>
    <row r="111" spans="1:12" s="9" customFormat="1" ht="12.75">
      <c r="A111" s="24"/>
      <c r="B111" s="21" t="s">
        <v>229</v>
      </c>
      <c r="C111" s="22" t="s">
        <v>15</v>
      </c>
      <c r="D111" s="23">
        <f>'Lista de recursos'!D36</f>
        <v>38.13559322033898</v>
      </c>
      <c r="E111" s="24">
        <v>1</v>
      </c>
      <c r="F111" s="29">
        <v>1</v>
      </c>
      <c r="G111" s="25">
        <v>2</v>
      </c>
      <c r="H111" s="23">
        <f t="shared" si="1"/>
        <v>76.27118644067797</v>
      </c>
      <c r="J111" s="17"/>
      <c r="L111" s="18"/>
    </row>
    <row r="112" spans="1:12" s="9" customFormat="1" ht="12.75">
      <c r="A112" s="24"/>
      <c r="B112" s="21" t="s">
        <v>230</v>
      </c>
      <c r="C112" s="22" t="s">
        <v>15</v>
      </c>
      <c r="D112" s="23">
        <f>'Lista de recursos'!D37</f>
        <v>635.5932203389831</v>
      </c>
      <c r="E112" s="24">
        <v>1</v>
      </c>
      <c r="F112" s="29">
        <v>1</v>
      </c>
      <c r="G112" s="25">
        <v>2</v>
      </c>
      <c r="H112" s="23">
        <f t="shared" si="1"/>
        <v>1271.1864406779662</v>
      </c>
      <c r="J112" s="17"/>
      <c r="L112" s="18"/>
    </row>
    <row r="113" spans="1:12" s="9" customFormat="1" ht="12.75">
      <c r="A113" s="24"/>
      <c r="B113" s="21" t="s">
        <v>231</v>
      </c>
      <c r="C113" s="22" t="s">
        <v>12</v>
      </c>
      <c r="D113" s="23">
        <v>225</v>
      </c>
      <c r="E113" s="24">
        <v>1</v>
      </c>
      <c r="F113" s="29">
        <v>1</v>
      </c>
      <c r="G113" s="25">
        <v>5.2</v>
      </c>
      <c r="H113" s="23">
        <f t="shared" si="1"/>
        <v>1170</v>
      </c>
      <c r="J113" s="17"/>
      <c r="L113" s="18"/>
    </row>
    <row r="114" spans="1:12" s="9" customFormat="1" ht="12.75">
      <c r="A114" s="24"/>
      <c r="B114" s="21" t="s">
        <v>24</v>
      </c>
      <c r="C114" s="22" t="s">
        <v>15</v>
      </c>
      <c r="D114" s="23">
        <v>1125</v>
      </c>
      <c r="E114" s="24">
        <v>1</v>
      </c>
      <c r="F114" s="29">
        <v>1</v>
      </c>
      <c r="G114" s="25">
        <v>3</v>
      </c>
      <c r="H114" s="23">
        <f t="shared" si="1"/>
        <v>3375</v>
      </c>
      <c r="J114" s="17"/>
      <c r="L114" s="18"/>
    </row>
    <row r="115" spans="1:12" s="9" customFormat="1" ht="12.75">
      <c r="A115" s="24"/>
      <c r="B115" s="21" t="s">
        <v>25</v>
      </c>
      <c r="C115" s="22" t="s">
        <v>15</v>
      </c>
      <c r="D115" s="23">
        <v>1230</v>
      </c>
      <c r="E115" s="24">
        <v>1</v>
      </c>
      <c r="F115" s="29">
        <v>1</v>
      </c>
      <c r="G115" s="25">
        <v>1</v>
      </c>
      <c r="H115" s="23">
        <f t="shared" si="1"/>
        <v>1230</v>
      </c>
      <c r="J115" s="17"/>
      <c r="L115" s="18"/>
    </row>
    <row r="116" spans="1:12" s="9" customFormat="1" ht="12.75">
      <c r="A116" s="24"/>
      <c r="B116" s="21" t="s">
        <v>26</v>
      </c>
      <c r="C116" s="22" t="s">
        <v>15</v>
      </c>
      <c r="D116" s="23">
        <v>995</v>
      </c>
      <c r="E116" s="24">
        <v>1</v>
      </c>
      <c r="F116" s="29">
        <v>1</v>
      </c>
      <c r="G116" s="25">
        <v>1</v>
      </c>
      <c r="H116" s="23">
        <f t="shared" si="1"/>
        <v>995</v>
      </c>
      <c r="J116" s="17"/>
      <c r="L116" s="18"/>
    </row>
    <row r="117" spans="1:12" s="9" customFormat="1" ht="12.75">
      <c r="A117" s="24"/>
      <c r="B117" s="21" t="s">
        <v>91</v>
      </c>
      <c r="C117" s="22" t="s">
        <v>92</v>
      </c>
      <c r="D117" s="23">
        <f>'Lista de recursos'!D55</f>
        <v>36.059322033898304</v>
      </c>
      <c r="E117" s="24">
        <v>1</v>
      </c>
      <c r="F117" s="29">
        <v>1</v>
      </c>
      <c r="G117" s="25">
        <v>817.66</v>
      </c>
      <c r="H117" s="23">
        <f t="shared" si="1"/>
        <v>29484.265254237285</v>
      </c>
      <c r="J117" s="17"/>
      <c r="L117" s="18"/>
    </row>
    <row r="118" spans="1:12" s="9" customFormat="1" ht="12.75">
      <c r="A118" s="24"/>
      <c r="B118" s="21" t="s">
        <v>232</v>
      </c>
      <c r="C118" s="22" t="s">
        <v>15</v>
      </c>
      <c r="D118" s="23">
        <f>'Lista de recursos'!D57</f>
        <v>1637.2881355932202</v>
      </c>
      <c r="E118" s="24">
        <v>1</v>
      </c>
      <c r="F118" s="29">
        <v>1</v>
      </c>
      <c r="G118" s="25">
        <v>17</v>
      </c>
      <c r="H118" s="23">
        <f t="shared" si="1"/>
        <v>27833.898305084742</v>
      </c>
      <c r="J118" s="17"/>
      <c r="L118" s="18"/>
    </row>
    <row r="119" spans="1:12" s="9" customFormat="1" ht="12.75">
      <c r="A119" s="24"/>
      <c r="B119" s="21" t="s">
        <v>220</v>
      </c>
      <c r="C119" s="22" t="s">
        <v>32</v>
      </c>
      <c r="D119" s="23">
        <f>'Lista de recursos'!F67</f>
        <v>280.381245</v>
      </c>
      <c r="E119" s="24">
        <v>1</v>
      </c>
      <c r="F119" s="29">
        <v>1</v>
      </c>
      <c r="G119" s="25">
        <v>108</v>
      </c>
      <c r="H119" s="23">
        <f t="shared" si="1"/>
        <v>30281.17446</v>
      </c>
      <c r="J119" s="17"/>
      <c r="L119" s="18"/>
    </row>
    <row r="120" spans="1:12" s="9" customFormat="1" ht="12.75">
      <c r="A120" s="24"/>
      <c r="B120" s="21" t="s">
        <v>102</v>
      </c>
      <c r="C120" s="22" t="s">
        <v>103</v>
      </c>
      <c r="D120" s="23">
        <f>'Lista de recursos'!F70</f>
        <v>42.739405</v>
      </c>
      <c r="E120" s="24">
        <v>1</v>
      </c>
      <c r="F120" s="29">
        <v>1</v>
      </c>
      <c r="G120" s="25">
        <v>41.7</v>
      </c>
      <c r="H120" s="23">
        <f t="shared" si="1"/>
        <v>1782.2331885</v>
      </c>
      <c r="J120" s="17"/>
      <c r="L120" s="18"/>
    </row>
    <row r="121" spans="1:12" s="9" customFormat="1" ht="12.75">
      <c r="A121" s="24"/>
      <c r="B121" s="21" t="s">
        <v>287</v>
      </c>
      <c r="C121" s="22" t="s">
        <v>8</v>
      </c>
      <c r="D121" s="23">
        <f>H344</f>
        <v>193.6</v>
      </c>
      <c r="E121" s="24">
        <v>1</v>
      </c>
      <c r="F121" s="29">
        <v>1</v>
      </c>
      <c r="G121" s="25">
        <v>35.6</v>
      </c>
      <c r="H121" s="23">
        <f t="shared" si="1"/>
        <v>6892.16</v>
      </c>
      <c r="J121" s="17"/>
      <c r="L121" s="18"/>
    </row>
    <row r="122" spans="1:12" s="9" customFormat="1" ht="12.75">
      <c r="A122" s="24"/>
      <c r="B122" s="21"/>
      <c r="C122" s="22"/>
      <c r="D122" s="23"/>
      <c r="E122" s="24"/>
      <c r="F122" s="29"/>
      <c r="G122" s="25"/>
      <c r="H122" s="23">
        <f>SUM(H107:H121)</f>
        <v>118646.24510612711</v>
      </c>
      <c r="J122" s="17"/>
      <c r="L122" s="18"/>
    </row>
    <row r="123" spans="1:12" s="9" customFormat="1" ht="38.25">
      <c r="A123" s="19"/>
      <c r="B123" s="219" t="s">
        <v>332</v>
      </c>
      <c r="C123" s="22"/>
      <c r="D123" s="23"/>
      <c r="E123" s="24"/>
      <c r="F123" s="29"/>
      <c r="G123" s="25"/>
      <c r="H123" s="23"/>
      <c r="J123" s="17"/>
      <c r="L123" s="18"/>
    </row>
    <row r="124" spans="1:12" s="9" customFormat="1" ht="12.75">
      <c r="A124" s="24"/>
      <c r="B124" s="24" t="s">
        <v>279</v>
      </c>
      <c r="C124" s="22" t="s">
        <v>7</v>
      </c>
      <c r="D124" s="23">
        <v>65</v>
      </c>
      <c r="E124" s="24">
        <v>1</v>
      </c>
      <c r="F124" s="29">
        <v>1</v>
      </c>
      <c r="G124" s="25">
        <v>1</v>
      </c>
      <c r="H124" s="23">
        <f>PRODUCT(D124:G124)</f>
        <v>65</v>
      </c>
      <c r="J124" s="17"/>
      <c r="L124" s="18"/>
    </row>
    <row r="125" spans="1:12" s="9" customFormat="1" ht="12.75">
      <c r="A125" s="24"/>
      <c r="B125" s="21" t="s">
        <v>222</v>
      </c>
      <c r="C125" s="22" t="s">
        <v>13</v>
      </c>
      <c r="D125" s="23">
        <f>D88</f>
        <v>25.4513898305085</v>
      </c>
      <c r="E125" s="24">
        <v>1</v>
      </c>
      <c r="F125" s="29">
        <v>1</v>
      </c>
      <c r="G125" s="25">
        <v>1</v>
      </c>
      <c r="H125" s="23">
        <f>PRODUCT(D125:G125)</f>
        <v>25.4513898305085</v>
      </c>
      <c r="J125" s="17"/>
      <c r="L125" s="18"/>
    </row>
    <row r="126" spans="1:12" s="9" customFormat="1" ht="12.75">
      <c r="A126" s="24"/>
      <c r="B126" s="21" t="s">
        <v>204</v>
      </c>
      <c r="C126" s="22" t="s">
        <v>7</v>
      </c>
      <c r="D126" s="23">
        <f>D80</f>
        <v>414.59</v>
      </c>
      <c r="E126" s="24">
        <v>1</v>
      </c>
      <c r="F126" s="29">
        <v>1</v>
      </c>
      <c r="G126" s="25">
        <v>1</v>
      </c>
      <c r="H126" s="23">
        <f>PRODUCT(D126:G126)</f>
        <v>414.59</v>
      </c>
      <c r="J126" s="17"/>
      <c r="L126" s="18"/>
    </row>
    <row r="127" spans="1:12" s="9" customFormat="1" ht="12.75">
      <c r="A127" s="24"/>
      <c r="B127" s="21"/>
      <c r="C127" s="22"/>
      <c r="D127" s="23"/>
      <c r="E127" s="24"/>
      <c r="F127" s="29"/>
      <c r="G127" s="25"/>
      <c r="H127" s="23">
        <f>SUM(H124:H126)</f>
        <v>505.0413898305085</v>
      </c>
      <c r="J127" s="17"/>
      <c r="L127" s="18"/>
    </row>
    <row r="128" spans="1:8" ht="12.75" customHeight="1">
      <c r="A128" s="19"/>
      <c r="B128" s="220" t="s">
        <v>401</v>
      </c>
      <c r="C128" s="27"/>
      <c r="D128" s="20"/>
      <c r="E128" s="19"/>
      <c r="F128" s="134"/>
      <c r="G128" s="135"/>
      <c r="H128" s="20"/>
    </row>
    <row r="129" spans="1:8" ht="12.75">
      <c r="A129" s="19"/>
      <c r="B129" s="164" t="s">
        <v>47</v>
      </c>
      <c r="C129" s="27" t="s">
        <v>39</v>
      </c>
      <c r="D129" s="20">
        <f>'Lista de recursos'!F11</f>
        <v>2135</v>
      </c>
      <c r="E129" s="19">
        <v>1</v>
      </c>
      <c r="F129" s="134">
        <v>1.05</v>
      </c>
      <c r="G129" s="135">
        <v>0.4932</v>
      </c>
      <c r="H129" s="20">
        <f>PRODUCT(D129:G129)</f>
        <v>1105.6311</v>
      </c>
    </row>
    <row r="130" spans="1:8" ht="12.75">
      <c r="A130" s="19"/>
      <c r="B130" s="164" t="s">
        <v>42</v>
      </c>
      <c r="C130" s="27" t="s">
        <v>43</v>
      </c>
      <c r="D130" s="20">
        <f>'Lista de recursos'!F16</f>
        <v>39.099999999999994</v>
      </c>
      <c r="E130" s="19">
        <v>1</v>
      </c>
      <c r="F130" s="134">
        <v>1.05</v>
      </c>
      <c r="G130" s="135">
        <f>SUM(G129:G129)*2</f>
        <v>0.9864</v>
      </c>
      <c r="H130" s="20">
        <f>PRODUCT(D130:G130)</f>
        <v>40.496652</v>
      </c>
    </row>
    <row r="131" spans="1:9" ht="12.75">
      <c r="A131" s="19"/>
      <c r="B131" s="164" t="s">
        <v>594</v>
      </c>
      <c r="C131" s="27" t="s">
        <v>7</v>
      </c>
      <c r="D131" s="20">
        <f>H197+H215</f>
        <v>5035.003739794851</v>
      </c>
      <c r="E131" s="19">
        <v>1</v>
      </c>
      <c r="F131" s="134">
        <v>1.05</v>
      </c>
      <c r="G131" s="135">
        <v>1</v>
      </c>
      <c r="H131" s="20">
        <f>PRODUCT(D131:G131)</f>
        <v>5286.753926784593</v>
      </c>
      <c r="I131" s="143">
        <f>D131-H197-H215</f>
        <v>0</v>
      </c>
    </row>
    <row r="132" spans="1:8" ht="12.75">
      <c r="A132" s="19"/>
      <c r="B132" s="164" t="s">
        <v>251</v>
      </c>
      <c r="C132" s="27" t="s">
        <v>12</v>
      </c>
      <c r="D132" s="20">
        <f>'Lista de recursos'!F234</f>
        <v>94.62</v>
      </c>
      <c r="E132" s="19">
        <v>1</v>
      </c>
      <c r="F132" s="134">
        <v>1</v>
      </c>
      <c r="G132" s="135">
        <f>1/(0.3*0.6)</f>
        <v>5.555555555555555</v>
      </c>
      <c r="H132" s="20">
        <f>PRODUCT(D132:G132)</f>
        <v>525.6666666666666</v>
      </c>
    </row>
    <row r="133" spans="1:8" ht="12.75">
      <c r="A133" s="19"/>
      <c r="B133" s="164"/>
      <c r="C133" s="27"/>
      <c r="D133" s="20"/>
      <c r="E133" s="19"/>
      <c r="F133" s="134"/>
      <c r="G133" s="135"/>
      <c r="H133" s="20">
        <f>SUM(H129:H132)</f>
        <v>6958.5483454512605</v>
      </c>
    </row>
    <row r="134" spans="1:8" ht="12.75">
      <c r="A134" s="19"/>
      <c r="B134" s="220" t="s">
        <v>400</v>
      </c>
      <c r="C134" s="221"/>
      <c r="D134" s="222"/>
      <c r="E134" s="26"/>
      <c r="F134" s="223"/>
      <c r="G134" s="224"/>
      <c r="H134" s="222"/>
    </row>
    <row r="135" spans="1:8" ht="12.75">
      <c r="A135" s="19"/>
      <c r="B135" s="164" t="s">
        <v>47</v>
      </c>
      <c r="C135" s="27" t="s">
        <v>39</v>
      </c>
      <c r="D135" s="20">
        <f>D129</f>
        <v>2135</v>
      </c>
      <c r="E135" s="19">
        <v>1</v>
      </c>
      <c r="F135" s="134">
        <v>1.05</v>
      </c>
      <c r="G135" s="135">
        <v>0.28764</v>
      </c>
      <c r="H135" s="20">
        <f>PRODUCT(D135:G135)</f>
        <v>644.81697</v>
      </c>
    </row>
    <row r="136" spans="1:8" ht="12.75">
      <c r="A136" s="19"/>
      <c r="B136" s="164" t="s">
        <v>42</v>
      </c>
      <c r="C136" s="27" t="s">
        <v>43</v>
      </c>
      <c r="D136" s="20">
        <f>D130</f>
        <v>39.099999999999994</v>
      </c>
      <c r="E136" s="19">
        <v>1</v>
      </c>
      <c r="F136" s="134">
        <v>1.05</v>
      </c>
      <c r="G136" s="135">
        <f>G135*2</f>
        <v>0.57528</v>
      </c>
      <c r="H136" s="20">
        <f>PRODUCT(D136:G136)</f>
        <v>23.618120399999995</v>
      </c>
    </row>
    <row r="137" spans="1:8" ht="12.75">
      <c r="A137" s="19"/>
      <c r="B137" s="164" t="s">
        <v>594</v>
      </c>
      <c r="C137" s="27" t="s">
        <v>7</v>
      </c>
      <c r="D137" s="20">
        <f>D131</f>
        <v>5035.003739794851</v>
      </c>
      <c r="E137" s="19">
        <v>1</v>
      </c>
      <c r="F137" s="134">
        <v>1.05</v>
      </c>
      <c r="G137" s="135">
        <v>1</v>
      </c>
      <c r="H137" s="20">
        <f>PRODUCT(D137:G137)</f>
        <v>5286.753926784593</v>
      </c>
    </row>
    <row r="138" spans="1:8" ht="12.75">
      <c r="A138" s="19"/>
      <c r="B138" s="164" t="s">
        <v>251</v>
      </c>
      <c r="C138" s="27" t="s">
        <v>12</v>
      </c>
      <c r="D138" s="20">
        <f>D132</f>
        <v>94.62</v>
      </c>
      <c r="E138" s="19">
        <v>1</v>
      </c>
      <c r="F138" s="134">
        <v>1</v>
      </c>
      <c r="G138" s="135">
        <f>1/(0.45*0.3)</f>
        <v>7.4074074074074066</v>
      </c>
      <c r="H138" s="20">
        <f>PRODUCT(D138:G138)</f>
        <v>700.8888888888888</v>
      </c>
    </row>
    <row r="139" spans="1:8" ht="12.75">
      <c r="A139" s="19"/>
      <c r="B139" s="164"/>
      <c r="C139" s="27"/>
      <c r="D139" s="20"/>
      <c r="E139" s="19"/>
      <c r="F139" s="134"/>
      <c r="G139" s="135"/>
      <c r="H139" s="20">
        <f>SUM(H135:H138)</f>
        <v>6656.077906073482</v>
      </c>
    </row>
    <row r="140" spans="1:8" ht="12.75">
      <c r="A140" s="19"/>
      <c r="B140" s="26" t="s">
        <v>427</v>
      </c>
      <c r="C140" s="27"/>
      <c r="D140" s="20"/>
      <c r="E140" s="19"/>
      <c r="F140" s="19"/>
      <c r="G140" s="135"/>
      <c r="H140" s="20"/>
    </row>
    <row r="141" spans="1:8" ht="12.75">
      <c r="A141" s="19"/>
      <c r="B141" s="164" t="s">
        <v>38</v>
      </c>
      <c r="C141" s="27" t="s">
        <v>39</v>
      </c>
      <c r="D141" s="20">
        <f>D135</f>
        <v>2135</v>
      </c>
      <c r="E141" s="19">
        <v>1</v>
      </c>
      <c r="F141" s="19">
        <v>1.05</v>
      </c>
      <c r="G141" s="135">
        <v>1.8494</v>
      </c>
      <c r="H141" s="20">
        <f>PRODUCT(D141:G141)</f>
        <v>4145.89245</v>
      </c>
    </row>
    <row r="142" spans="1:8" ht="12.75">
      <c r="A142" s="19"/>
      <c r="B142" s="164" t="s">
        <v>42</v>
      </c>
      <c r="C142" s="27" t="s">
        <v>43</v>
      </c>
      <c r="D142" s="20">
        <f>D136</f>
        <v>39.099999999999994</v>
      </c>
      <c r="E142" s="19">
        <v>1</v>
      </c>
      <c r="F142" s="19">
        <v>1.05</v>
      </c>
      <c r="G142" s="135">
        <f>SUM(G141:G141)*2</f>
        <v>3.6988</v>
      </c>
      <c r="H142" s="20">
        <f>PRODUCT(D142:G142)</f>
        <v>151.85423399999996</v>
      </c>
    </row>
    <row r="143" spans="1:8" ht="12.75">
      <c r="A143" s="19"/>
      <c r="B143" s="164" t="s">
        <v>594</v>
      </c>
      <c r="C143" s="27" t="s">
        <v>7</v>
      </c>
      <c r="D143" s="20">
        <f>D131</f>
        <v>5035.003739794851</v>
      </c>
      <c r="E143" s="19">
        <v>1</v>
      </c>
      <c r="F143" s="19">
        <v>1.05</v>
      </c>
      <c r="G143" s="135">
        <v>1</v>
      </c>
      <c r="H143" s="20">
        <f>PRODUCT(D143:G143)</f>
        <v>5286.753926784593</v>
      </c>
    </row>
    <row r="144" spans="1:8" ht="12.75">
      <c r="A144" s="19"/>
      <c r="B144" s="164" t="s">
        <v>45</v>
      </c>
      <c r="C144" s="27" t="s">
        <v>39</v>
      </c>
      <c r="D144" s="20">
        <f>'Lista de recursos'!F231</f>
        <v>283.89</v>
      </c>
      <c r="E144" s="19">
        <v>1</v>
      </c>
      <c r="F144" s="19">
        <v>1</v>
      </c>
      <c r="G144" s="135">
        <f>SUM(G141:G141)</f>
        <v>1.8494</v>
      </c>
      <c r="H144" s="20">
        <f>PRODUCT(D144:G144)</f>
        <v>525.026166</v>
      </c>
    </row>
    <row r="145" spans="1:8" ht="12.75">
      <c r="A145" s="19"/>
      <c r="B145" s="164"/>
      <c r="C145" s="27"/>
      <c r="D145" s="20"/>
      <c r="E145" s="19"/>
      <c r="F145" s="19"/>
      <c r="G145" s="135"/>
      <c r="H145" s="20">
        <f>SUM(H141:H144)</f>
        <v>10109.526776784594</v>
      </c>
    </row>
    <row r="146" spans="1:8" ht="12.75">
      <c r="A146" s="19"/>
      <c r="B146" s="26" t="s">
        <v>581</v>
      </c>
      <c r="C146" s="27"/>
      <c r="D146" s="20"/>
      <c r="E146" s="19"/>
      <c r="F146" s="19"/>
      <c r="G146" s="135"/>
      <c r="H146" s="20"/>
    </row>
    <row r="147" spans="1:8" ht="12.75">
      <c r="A147" s="19"/>
      <c r="B147" s="164" t="s">
        <v>47</v>
      </c>
      <c r="C147" s="27" t="s">
        <v>39</v>
      </c>
      <c r="D147" s="20">
        <f>'Lista de recursos'!F14</f>
        <v>2135</v>
      </c>
      <c r="E147" s="19">
        <v>1</v>
      </c>
      <c r="F147" s="19">
        <v>1.05</v>
      </c>
      <c r="G147" s="135">
        <v>2.97678683127572</v>
      </c>
      <c r="H147" s="20">
        <f aca="true" t="shared" si="2" ref="H147:H152">PRODUCT(D147:G147)</f>
        <v>6673.211879012345</v>
      </c>
    </row>
    <row r="148" spans="1:8" ht="12.75">
      <c r="A148" s="19"/>
      <c r="B148" s="164" t="s">
        <v>40</v>
      </c>
      <c r="C148" s="27" t="s">
        <v>39</v>
      </c>
      <c r="D148" s="20">
        <f>'Lista de recursos'!F11</f>
        <v>2135</v>
      </c>
      <c r="E148" s="19">
        <v>1</v>
      </c>
      <c r="F148" s="19">
        <v>1.05</v>
      </c>
      <c r="G148" s="135">
        <v>3.0734</v>
      </c>
      <c r="H148" s="20">
        <f t="shared" si="2"/>
        <v>6889.794449999999</v>
      </c>
    </row>
    <row r="149" spans="1:8" ht="12.75">
      <c r="A149" s="19"/>
      <c r="B149" s="164" t="s">
        <v>42</v>
      </c>
      <c r="C149" s="27" t="s">
        <v>43</v>
      </c>
      <c r="D149" s="20">
        <f>D142</f>
        <v>39.099999999999994</v>
      </c>
      <c r="E149" s="19">
        <v>1</v>
      </c>
      <c r="F149" s="19">
        <v>1.05</v>
      </c>
      <c r="G149" s="135">
        <f>SUM(G147:G148)*2</f>
        <v>12.10037366255144</v>
      </c>
      <c r="H149" s="20">
        <f t="shared" si="2"/>
        <v>496.7808407160493</v>
      </c>
    </row>
    <row r="150" spans="1:8" ht="12.75">
      <c r="A150" s="19"/>
      <c r="B150" s="164" t="s">
        <v>594</v>
      </c>
      <c r="C150" s="27" t="s">
        <v>7</v>
      </c>
      <c r="D150" s="20">
        <f>D143</f>
        <v>5035.003739794851</v>
      </c>
      <c r="E150" s="19">
        <v>1</v>
      </c>
      <c r="F150" s="19">
        <v>1.05</v>
      </c>
      <c r="G150" s="135">
        <v>1</v>
      </c>
      <c r="H150" s="20">
        <f t="shared" si="2"/>
        <v>5286.753926784593</v>
      </c>
    </row>
    <row r="151" spans="1:8" ht="12.75">
      <c r="A151" s="19"/>
      <c r="B151" s="164" t="s">
        <v>48</v>
      </c>
      <c r="C151" s="27" t="s">
        <v>12</v>
      </c>
      <c r="D151" s="20">
        <f>'Lista de recursos'!F192</f>
        <v>345</v>
      </c>
      <c r="E151" s="19">
        <v>1</v>
      </c>
      <c r="F151" s="19">
        <v>1</v>
      </c>
      <c r="G151" s="135">
        <f>1/(0.35*0.35)</f>
        <v>8.163265306122451</v>
      </c>
      <c r="H151" s="20">
        <f t="shared" si="2"/>
        <v>2816.3265306122457</v>
      </c>
    </row>
    <row r="152" spans="1:8" ht="12.75">
      <c r="A152" s="19"/>
      <c r="B152" s="164" t="s">
        <v>45</v>
      </c>
      <c r="C152" s="27" t="s">
        <v>39</v>
      </c>
      <c r="D152" s="20">
        <f>D144</f>
        <v>283.89</v>
      </c>
      <c r="E152" s="19">
        <v>1</v>
      </c>
      <c r="F152" s="19">
        <v>1</v>
      </c>
      <c r="G152" s="135">
        <f>SUM(G147:G148)</f>
        <v>6.05018683127572</v>
      </c>
      <c r="H152" s="20">
        <f t="shared" si="2"/>
        <v>1717.5875395308642</v>
      </c>
    </row>
    <row r="153" spans="1:8" ht="12.75">
      <c r="A153" s="19"/>
      <c r="B153" s="164"/>
      <c r="C153" s="27"/>
      <c r="D153" s="20"/>
      <c r="E153" s="19"/>
      <c r="F153" s="19"/>
      <c r="G153" s="135"/>
      <c r="H153" s="20">
        <f>SUM(H147:H152)</f>
        <v>23880.455166656095</v>
      </c>
    </row>
    <row r="154" spans="1:8" ht="12.75">
      <c r="A154" s="19"/>
      <c r="B154" s="26" t="s">
        <v>495</v>
      </c>
      <c r="C154" s="27"/>
      <c r="D154" s="20"/>
      <c r="E154" s="19"/>
      <c r="F154" s="134"/>
      <c r="G154" s="135"/>
      <c r="H154" s="20"/>
    </row>
    <row r="155" spans="1:8" ht="12.75">
      <c r="A155" s="19"/>
      <c r="B155" s="164" t="s">
        <v>47</v>
      </c>
      <c r="C155" s="27" t="s">
        <v>39</v>
      </c>
      <c r="D155" s="20">
        <f>D135</f>
        <v>2135</v>
      </c>
      <c r="E155" s="19">
        <v>1</v>
      </c>
      <c r="F155" s="134">
        <v>1.05</v>
      </c>
      <c r="G155" s="135">
        <v>1.25</v>
      </c>
      <c r="H155" s="20">
        <f aca="true" t="shared" si="3" ref="H155:H160">PRODUCT(D155:G155)</f>
        <v>2802.1875</v>
      </c>
    </row>
    <row r="156" spans="1:8" ht="12.75">
      <c r="A156" s="19"/>
      <c r="B156" s="21" t="s">
        <v>38</v>
      </c>
      <c r="C156" s="27" t="s">
        <v>39</v>
      </c>
      <c r="D156" s="20">
        <f>D135</f>
        <v>2135</v>
      </c>
      <c r="E156" s="19">
        <v>1</v>
      </c>
      <c r="F156" s="134">
        <v>1.05</v>
      </c>
      <c r="G156" s="135">
        <v>1.9</v>
      </c>
      <c r="H156" s="20">
        <f t="shared" si="3"/>
        <v>4259.325</v>
      </c>
    </row>
    <row r="157" spans="1:8" ht="12.75">
      <c r="A157" s="19"/>
      <c r="B157" s="164" t="s">
        <v>42</v>
      </c>
      <c r="C157" s="27" t="s">
        <v>43</v>
      </c>
      <c r="D157" s="20">
        <f>D136</f>
        <v>39.099999999999994</v>
      </c>
      <c r="E157" s="19">
        <v>1</v>
      </c>
      <c r="F157" s="134">
        <v>1.05</v>
      </c>
      <c r="G157" s="135">
        <f>SUM(G155:G155)*2</f>
        <v>2.5</v>
      </c>
      <c r="H157" s="20">
        <f t="shared" si="3"/>
        <v>102.63749999999999</v>
      </c>
    </row>
    <row r="158" spans="1:8" ht="12.75">
      <c r="A158" s="19"/>
      <c r="B158" s="164" t="s">
        <v>594</v>
      </c>
      <c r="C158" s="27" t="s">
        <v>7</v>
      </c>
      <c r="D158" s="20">
        <f>D137</f>
        <v>5035.003739794851</v>
      </c>
      <c r="E158" s="19">
        <v>1</v>
      </c>
      <c r="F158" s="134">
        <v>1.05</v>
      </c>
      <c r="G158" s="135">
        <v>1</v>
      </c>
      <c r="H158" s="20">
        <f t="shared" si="3"/>
        <v>5286.753926784593</v>
      </c>
    </row>
    <row r="159" spans="1:8" ht="12.75">
      <c r="A159" s="19"/>
      <c r="B159" s="164" t="s">
        <v>338</v>
      </c>
      <c r="C159" s="27" t="s">
        <v>12</v>
      </c>
      <c r="D159" s="20">
        <f>'Lista de recursos'!F199</f>
        <v>227.71023499999998</v>
      </c>
      <c r="E159" s="19">
        <v>1</v>
      </c>
      <c r="F159" s="134">
        <v>1</v>
      </c>
      <c r="G159" s="135">
        <v>33.19</v>
      </c>
      <c r="H159" s="20">
        <f t="shared" si="3"/>
        <v>7557.702699649999</v>
      </c>
    </row>
    <row r="160" spans="1:8" ht="12.75">
      <c r="A160" s="19"/>
      <c r="B160" s="19" t="s">
        <v>337</v>
      </c>
      <c r="C160" s="27" t="s">
        <v>12</v>
      </c>
      <c r="D160" s="20">
        <f>'Lista de recursos'!F232</f>
        <v>94.62</v>
      </c>
      <c r="E160" s="19">
        <v>1</v>
      </c>
      <c r="F160" s="134">
        <v>1</v>
      </c>
      <c r="G160" s="135">
        <v>33.1894</v>
      </c>
      <c r="H160" s="20">
        <f t="shared" si="3"/>
        <v>3140.3810280000002</v>
      </c>
    </row>
    <row r="161" spans="1:8" ht="12.75">
      <c r="A161" s="19"/>
      <c r="B161" s="164"/>
      <c r="C161" s="27"/>
      <c r="D161" s="20"/>
      <c r="E161" s="19"/>
      <c r="F161" s="134"/>
      <c r="G161" s="135"/>
      <c r="H161" s="20">
        <f>SUM(H155:H160)</f>
        <v>23148.987654434593</v>
      </c>
    </row>
    <row r="162" spans="1:8" ht="12.75">
      <c r="A162" s="19"/>
      <c r="B162" s="26" t="s">
        <v>494</v>
      </c>
      <c r="C162" s="27"/>
      <c r="D162" s="20"/>
      <c r="E162" s="19"/>
      <c r="F162" s="134"/>
      <c r="G162" s="135"/>
      <c r="H162" s="20"/>
    </row>
    <row r="163" spans="1:8" ht="12.75">
      <c r="A163" s="19"/>
      <c r="B163" s="164" t="s">
        <v>47</v>
      </c>
      <c r="C163" s="27" t="s">
        <v>39</v>
      </c>
      <c r="D163" s="20">
        <f aca="true" t="shared" si="4" ref="D163:D168">D155</f>
        <v>2135</v>
      </c>
      <c r="E163" s="19">
        <v>1</v>
      </c>
      <c r="F163" s="134">
        <v>1.05</v>
      </c>
      <c r="G163" s="135">
        <v>1.25</v>
      </c>
      <c r="H163" s="20">
        <f aca="true" t="shared" si="5" ref="H163:H168">PRODUCT(D163:G163)</f>
        <v>2802.1875</v>
      </c>
    </row>
    <row r="164" spans="1:8" ht="12.75">
      <c r="A164" s="19"/>
      <c r="B164" s="21" t="s">
        <v>38</v>
      </c>
      <c r="C164" s="27" t="s">
        <v>39</v>
      </c>
      <c r="D164" s="20">
        <f t="shared" si="4"/>
        <v>2135</v>
      </c>
      <c r="E164" s="19">
        <v>1</v>
      </c>
      <c r="F164" s="134">
        <v>1.05</v>
      </c>
      <c r="G164" s="135">
        <v>1.9</v>
      </c>
      <c r="H164" s="20">
        <f t="shared" si="5"/>
        <v>4259.325</v>
      </c>
    </row>
    <row r="165" spans="1:8" ht="12.75">
      <c r="A165" s="19"/>
      <c r="B165" s="164" t="s">
        <v>42</v>
      </c>
      <c r="C165" s="27" t="s">
        <v>43</v>
      </c>
      <c r="D165" s="20">
        <f t="shared" si="4"/>
        <v>39.099999999999994</v>
      </c>
      <c r="E165" s="19">
        <v>1</v>
      </c>
      <c r="F165" s="134">
        <v>1.05</v>
      </c>
      <c r="G165" s="135">
        <f>SUM(G163:G163)*2</f>
        <v>2.5</v>
      </c>
      <c r="H165" s="20">
        <f t="shared" si="5"/>
        <v>102.63749999999999</v>
      </c>
    </row>
    <row r="166" spans="1:8" ht="12.75">
      <c r="A166" s="19"/>
      <c r="B166" s="164" t="s">
        <v>594</v>
      </c>
      <c r="C166" s="27" t="s">
        <v>7</v>
      </c>
      <c r="D166" s="20">
        <f t="shared" si="4"/>
        <v>5035.003739794851</v>
      </c>
      <c r="E166" s="19">
        <v>1</v>
      </c>
      <c r="F166" s="134">
        <v>1.05</v>
      </c>
      <c r="G166" s="135">
        <v>1</v>
      </c>
      <c r="H166" s="20">
        <f t="shared" si="5"/>
        <v>5286.753926784593</v>
      </c>
    </row>
    <row r="167" spans="1:8" ht="12.75">
      <c r="A167" s="19"/>
      <c r="B167" s="164" t="s">
        <v>338</v>
      </c>
      <c r="C167" s="27" t="s">
        <v>12</v>
      </c>
      <c r="D167" s="20">
        <f t="shared" si="4"/>
        <v>227.71023499999998</v>
      </c>
      <c r="E167" s="19">
        <v>1</v>
      </c>
      <c r="F167" s="134">
        <v>1</v>
      </c>
      <c r="G167" s="135">
        <v>33.19</v>
      </c>
      <c r="H167" s="20">
        <f t="shared" si="5"/>
        <v>7557.702699649999</v>
      </c>
    </row>
    <row r="168" spans="1:8" ht="12.75">
      <c r="A168" s="19"/>
      <c r="B168" s="19" t="s">
        <v>337</v>
      </c>
      <c r="C168" s="27" t="s">
        <v>12</v>
      </c>
      <c r="D168" s="20">
        <f t="shared" si="4"/>
        <v>94.62</v>
      </c>
      <c r="E168" s="19">
        <v>1</v>
      </c>
      <c r="F168" s="134">
        <v>1</v>
      </c>
      <c r="G168" s="135">
        <v>33.1894</v>
      </c>
      <c r="H168" s="20">
        <f t="shared" si="5"/>
        <v>3140.3810280000002</v>
      </c>
    </row>
    <row r="169" spans="1:8" ht="12.75">
      <c r="A169" s="19"/>
      <c r="B169" s="164"/>
      <c r="C169" s="27"/>
      <c r="D169" s="20"/>
      <c r="E169" s="19"/>
      <c r="F169" s="134"/>
      <c r="G169" s="135"/>
      <c r="H169" s="20">
        <f>SUM(H163:H168)</f>
        <v>23148.987654434593</v>
      </c>
    </row>
    <row r="170" spans="1:8" ht="12.75">
      <c r="A170" s="19"/>
      <c r="B170" s="26" t="s">
        <v>402</v>
      </c>
      <c r="C170" s="27"/>
      <c r="D170" s="20"/>
      <c r="E170" s="19"/>
      <c r="F170" s="134"/>
      <c r="G170" s="135"/>
      <c r="H170" s="20"/>
    </row>
    <row r="171" spans="1:8" ht="12.75">
      <c r="A171" s="19"/>
      <c r="B171" s="164" t="s">
        <v>47</v>
      </c>
      <c r="C171" s="27" t="s">
        <v>39</v>
      </c>
      <c r="D171" s="20">
        <f aca="true" t="shared" si="6" ref="D171:D176">D155</f>
        <v>2135</v>
      </c>
      <c r="E171" s="19">
        <v>1</v>
      </c>
      <c r="F171" s="134">
        <v>1.05</v>
      </c>
      <c r="G171" s="135">
        <v>1.25</v>
      </c>
      <c r="H171" s="20">
        <f aca="true" t="shared" si="7" ref="H171:H176">PRODUCT(D171:G171)</f>
        <v>2802.1875</v>
      </c>
    </row>
    <row r="172" spans="1:8" ht="12.75">
      <c r="A172" s="19"/>
      <c r="B172" s="21" t="s">
        <v>38</v>
      </c>
      <c r="C172" s="27" t="s">
        <v>39</v>
      </c>
      <c r="D172" s="20">
        <f t="shared" si="6"/>
        <v>2135</v>
      </c>
      <c r="E172" s="19">
        <v>1</v>
      </c>
      <c r="F172" s="134">
        <v>1.05</v>
      </c>
      <c r="G172" s="135">
        <v>1.9</v>
      </c>
      <c r="H172" s="20">
        <f t="shared" si="7"/>
        <v>4259.325</v>
      </c>
    </row>
    <row r="173" spans="1:8" ht="12.75">
      <c r="A173" s="19"/>
      <c r="B173" s="164" t="s">
        <v>42</v>
      </c>
      <c r="C173" s="27" t="s">
        <v>43</v>
      </c>
      <c r="D173" s="20">
        <f t="shared" si="6"/>
        <v>39.099999999999994</v>
      </c>
      <c r="E173" s="19">
        <v>1</v>
      </c>
      <c r="F173" s="134">
        <v>1.05</v>
      </c>
      <c r="G173" s="135">
        <f>SUM(G171:G171)*2</f>
        <v>2.5</v>
      </c>
      <c r="H173" s="20">
        <f t="shared" si="7"/>
        <v>102.63749999999999</v>
      </c>
    </row>
    <row r="174" spans="1:8" ht="12.75">
      <c r="A174" s="19"/>
      <c r="B174" s="164" t="s">
        <v>594</v>
      </c>
      <c r="C174" s="27" t="s">
        <v>7</v>
      </c>
      <c r="D174" s="20">
        <f t="shared" si="6"/>
        <v>5035.003739794851</v>
      </c>
      <c r="E174" s="19">
        <v>1</v>
      </c>
      <c r="F174" s="134">
        <v>1.05</v>
      </c>
      <c r="G174" s="135">
        <v>1</v>
      </c>
      <c r="H174" s="20">
        <f t="shared" si="7"/>
        <v>5286.753926784593</v>
      </c>
    </row>
    <row r="175" spans="1:8" ht="12.75">
      <c r="A175" s="19"/>
      <c r="B175" s="164" t="s">
        <v>339</v>
      </c>
      <c r="C175" s="27" t="s">
        <v>12</v>
      </c>
      <c r="D175" s="20">
        <f t="shared" si="6"/>
        <v>227.71023499999998</v>
      </c>
      <c r="E175" s="19">
        <v>1</v>
      </c>
      <c r="F175" s="134">
        <v>1</v>
      </c>
      <c r="G175" s="135">
        <v>33.19</v>
      </c>
      <c r="H175" s="20">
        <f t="shared" si="7"/>
        <v>7557.702699649999</v>
      </c>
    </row>
    <row r="176" spans="1:8" ht="12.75">
      <c r="A176" s="19"/>
      <c r="B176" s="19" t="s">
        <v>340</v>
      </c>
      <c r="C176" s="27" t="s">
        <v>12</v>
      </c>
      <c r="D176" s="20">
        <f t="shared" si="6"/>
        <v>94.62</v>
      </c>
      <c r="E176" s="19">
        <v>1</v>
      </c>
      <c r="F176" s="134">
        <v>1</v>
      </c>
      <c r="G176" s="135">
        <v>33.1894</v>
      </c>
      <c r="H176" s="20">
        <f t="shared" si="7"/>
        <v>3140.3810280000002</v>
      </c>
    </row>
    <row r="177" spans="1:8" ht="12.75">
      <c r="A177" s="19"/>
      <c r="B177" s="164"/>
      <c r="C177" s="27"/>
      <c r="D177" s="20"/>
      <c r="E177" s="19"/>
      <c r="F177" s="134"/>
      <c r="G177" s="135"/>
      <c r="H177" s="20">
        <f>SUM(H171:H176)</f>
        <v>23148.987654434593</v>
      </c>
    </row>
    <row r="178" spans="1:8" ht="12.75">
      <c r="A178" s="24"/>
      <c r="B178" s="175" t="s">
        <v>404</v>
      </c>
      <c r="C178" s="22"/>
      <c r="D178" s="23"/>
      <c r="E178" s="24"/>
      <c r="F178" s="29"/>
      <c r="G178" s="25"/>
      <c r="H178" s="23"/>
    </row>
    <row r="179" spans="1:8" ht="12.75">
      <c r="A179" s="24"/>
      <c r="B179" s="21" t="s">
        <v>47</v>
      </c>
      <c r="C179" s="22" t="s">
        <v>39</v>
      </c>
      <c r="D179" s="23">
        <f>'Lista de recursos'!F11</f>
        <v>2135</v>
      </c>
      <c r="E179" s="24">
        <v>1</v>
      </c>
      <c r="F179" s="29">
        <v>1.05</v>
      </c>
      <c r="G179" s="25">
        <v>1.61417</v>
      </c>
      <c r="H179" s="23">
        <f>PRODUCT(D179:G179)</f>
        <v>3618.5655975000004</v>
      </c>
    </row>
    <row r="180" spans="1:8" ht="12.75">
      <c r="A180" s="24"/>
      <c r="B180" s="21" t="s">
        <v>42</v>
      </c>
      <c r="C180" s="22" t="s">
        <v>43</v>
      </c>
      <c r="D180" s="23">
        <f>'Lista de recursos'!F16</f>
        <v>39.099999999999994</v>
      </c>
      <c r="E180" s="24">
        <v>1</v>
      </c>
      <c r="F180" s="29">
        <v>1.05</v>
      </c>
      <c r="G180" s="25">
        <f>SUM(G179:G179)*2</f>
        <v>3.22834</v>
      </c>
      <c r="H180" s="23">
        <f>PRODUCT(D180:G180)</f>
        <v>132.5394987</v>
      </c>
    </row>
    <row r="181" spans="1:8" ht="12.75">
      <c r="A181" s="24"/>
      <c r="B181" s="164" t="s">
        <v>594</v>
      </c>
      <c r="C181" s="22" t="s">
        <v>7</v>
      </c>
      <c r="D181" s="23">
        <f>'Lista de recursos'!F52</f>
        <v>5035</v>
      </c>
      <c r="E181" s="24">
        <v>1</v>
      </c>
      <c r="F181" s="29">
        <v>1.05</v>
      </c>
      <c r="G181" s="25">
        <v>1</v>
      </c>
      <c r="H181" s="23">
        <f>PRODUCT(D181:G181)</f>
        <v>5286.75</v>
      </c>
    </row>
    <row r="182" spans="1:8" ht="12.75">
      <c r="A182" s="24"/>
      <c r="B182" s="21" t="s">
        <v>56</v>
      </c>
      <c r="C182" s="22" t="s">
        <v>8</v>
      </c>
      <c r="D182" s="23">
        <f>'Lista de recursos'!F197</f>
        <v>235.74999999999997</v>
      </c>
      <c r="E182" s="24">
        <v>1</v>
      </c>
      <c r="F182" s="29">
        <v>1</v>
      </c>
      <c r="G182" s="25">
        <f>1/0.12</f>
        <v>8.333333333333334</v>
      </c>
      <c r="H182" s="23">
        <f>PRODUCT(D182:G182)</f>
        <v>1964.5833333333333</v>
      </c>
    </row>
    <row r="183" spans="1:8" ht="12.75">
      <c r="A183" s="24"/>
      <c r="B183" s="21" t="s">
        <v>45</v>
      </c>
      <c r="C183" s="22" t="s">
        <v>39</v>
      </c>
      <c r="D183" s="23">
        <f>'Lista de recursos'!F231</f>
        <v>283.89</v>
      </c>
      <c r="E183" s="24">
        <v>1</v>
      </c>
      <c r="F183" s="29">
        <v>1</v>
      </c>
      <c r="G183" s="25">
        <f>SUM(G179:G179)</f>
        <v>1.61417</v>
      </c>
      <c r="H183" s="23">
        <f>PRODUCT(D183:G183)</f>
        <v>458.2467213</v>
      </c>
    </row>
    <row r="184" spans="1:8" ht="12.75">
      <c r="A184" s="24"/>
      <c r="B184" s="21"/>
      <c r="C184" s="22"/>
      <c r="D184" s="23"/>
      <c r="E184" s="24"/>
      <c r="F184" s="29"/>
      <c r="G184" s="25"/>
      <c r="H184" s="23">
        <f>SUM(H179:H183)</f>
        <v>11460.685150833335</v>
      </c>
    </row>
    <row r="185" spans="1:9" ht="12.75">
      <c r="A185" s="24"/>
      <c r="B185" s="175" t="s">
        <v>434</v>
      </c>
      <c r="C185" s="22"/>
      <c r="D185" s="23"/>
      <c r="E185" s="24"/>
      <c r="F185" s="29"/>
      <c r="G185" s="25"/>
      <c r="H185" s="23"/>
      <c r="I185" s="6"/>
    </row>
    <row r="186" spans="1:8" ht="12.75">
      <c r="A186" s="19"/>
      <c r="B186" s="21" t="s">
        <v>47</v>
      </c>
      <c r="C186" s="22" t="s">
        <v>39</v>
      </c>
      <c r="D186" s="23">
        <f>D179</f>
        <v>2135</v>
      </c>
      <c r="E186" s="24">
        <v>1</v>
      </c>
      <c r="F186" s="29">
        <v>1.05</v>
      </c>
      <c r="G186" s="25">
        <v>1.3156</v>
      </c>
      <c r="H186" s="23">
        <f>PRODUCT(D186:G186)</f>
        <v>2949.2463000000002</v>
      </c>
    </row>
    <row r="187" spans="1:8" ht="12.75">
      <c r="A187" s="24"/>
      <c r="B187" s="21" t="s">
        <v>42</v>
      </c>
      <c r="C187" s="22" t="s">
        <v>43</v>
      </c>
      <c r="D187" s="23">
        <f>D180</f>
        <v>39.099999999999994</v>
      </c>
      <c r="E187" s="24">
        <v>1</v>
      </c>
      <c r="F187" s="29">
        <v>1.05</v>
      </c>
      <c r="G187" s="25">
        <f>SUM(G186:G186)*2</f>
        <v>2.6312</v>
      </c>
      <c r="H187" s="23">
        <f>PRODUCT(D187:G187)</f>
        <v>108.02391599999999</v>
      </c>
    </row>
    <row r="188" spans="1:8" ht="12.75">
      <c r="A188" s="24"/>
      <c r="B188" s="164" t="s">
        <v>594</v>
      </c>
      <c r="C188" s="22" t="s">
        <v>7</v>
      </c>
      <c r="D188" s="23">
        <f>D181</f>
        <v>5035</v>
      </c>
      <c r="E188" s="24">
        <v>1</v>
      </c>
      <c r="F188" s="29">
        <v>1.05</v>
      </c>
      <c r="G188" s="25">
        <v>1</v>
      </c>
      <c r="H188" s="23">
        <f>PRODUCT(D188:G188)</f>
        <v>5286.75</v>
      </c>
    </row>
    <row r="189" spans="1:8" ht="12.75">
      <c r="A189" s="24"/>
      <c r="B189" s="21" t="s">
        <v>56</v>
      </c>
      <c r="C189" s="22" t="s">
        <v>8</v>
      </c>
      <c r="D189" s="23">
        <f>D182</f>
        <v>235.74999999999997</v>
      </c>
      <c r="E189" s="24">
        <v>1</v>
      </c>
      <c r="F189" s="29">
        <v>1</v>
      </c>
      <c r="G189" s="25">
        <f>1/0.12</f>
        <v>8.333333333333334</v>
      </c>
      <c r="H189" s="23">
        <f>PRODUCT(D189:G189)</f>
        <v>1964.5833333333333</v>
      </c>
    </row>
    <row r="190" spans="1:8" ht="12.75">
      <c r="A190" s="24"/>
      <c r="B190" s="21" t="s">
        <v>45</v>
      </c>
      <c r="C190" s="22" t="s">
        <v>39</v>
      </c>
      <c r="D190" s="23">
        <f>D183</f>
        <v>283.89</v>
      </c>
      <c r="E190" s="24">
        <v>1</v>
      </c>
      <c r="F190" s="29">
        <v>1</v>
      </c>
      <c r="G190" s="25">
        <f>SUM(G186:G186)</f>
        <v>1.3156</v>
      </c>
      <c r="H190" s="23">
        <f>PRODUCT(D190:G190)</f>
        <v>373.485684</v>
      </c>
    </row>
    <row r="191" spans="1:8" ht="12.75">
      <c r="A191" s="24"/>
      <c r="B191" s="21"/>
      <c r="C191" s="22"/>
      <c r="D191" s="23"/>
      <c r="E191" s="24"/>
      <c r="F191" s="29"/>
      <c r="G191" s="25"/>
      <c r="H191" s="23">
        <f>SUM(H186:H190)</f>
        <v>10682.089233333334</v>
      </c>
    </row>
    <row r="192" spans="1:8" ht="12.75">
      <c r="A192" s="19"/>
      <c r="B192" s="175" t="s">
        <v>61</v>
      </c>
      <c r="C192" s="22"/>
      <c r="D192" s="23"/>
      <c r="E192" s="24"/>
      <c r="F192" s="29"/>
      <c r="G192" s="25"/>
      <c r="H192" s="23"/>
    </row>
    <row r="193" spans="1:8" ht="12.75">
      <c r="A193" s="24"/>
      <c r="B193" s="21" t="s">
        <v>62</v>
      </c>
      <c r="C193" s="22" t="s">
        <v>7</v>
      </c>
      <c r="D193" s="23">
        <f>'Lista de recursos'!F19</f>
        <v>900</v>
      </c>
      <c r="E193" s="24">
        <v>1</v>
      </c>
      <c r="F193" s="29">
        <v>1</v>
      </c>
      <c r="G193" s="25">
        <v>0.505</v>
      </c>
      <c r="H193" s="23">
        <f>PRODUCT(D193:G193)</f>
        <v>454.5</v>
      </c>
    </row>
    <row r="194" spans="1:8" ht="12.75">
      <c r="A194" s="24"/>
      <c r="B194" s="21" t="s">
        <v>63</v>
      </c>
      <c r="C194" s="22" t="s">
        <v>7</v>
      </c>
      <c r="D194" s="23">
        <f>'Lista de recursos'!F22</f>
        <v>1100</v>
      </c>
      <c r="E194" s="24">
        <v>1</v>
      </c>
      <c r="F194" s="29">
        <v>1</v>
      </c>
      <c r="G194" s="25">
        <v>0.699</v>
      </c>
      <c r="H194" s="23">
        <f>PRODUCT(D194:G194)</f>
        <v>768.9</v>
      </c>
    </row>
    <row r="195" spans="1:9" ht="12.75">
      <c r="A195" s="24"/>
      <c r="B195" s="21" t="s">
        <v>64</v>
      </c>
      <c r="C195" s="22" t="s">
        <v>65</v>
      </c>
      <c r="D195" s="23">
        <f>'Lista de recursos'!F28</f>
        <v>270</v>
      </c>
      <c r="E195" s="24">
        <v>1</v>
      </c>
      <c r="F195" s="29">
        <v>1</v>
      </c>
      <c r="G195" s="25">
        <v>8.94</v>
      </c>
      <c r="H195" s="23">
        <f>PRODUCT(D195:G195)</f>
        <v>2413.7999999999997</v>
      </c>
      <c r="I195" s="143"/>
    </row>
    <row r="196" spans="1:8" ht="12.75">
      <c r="A196" s="24"/>
      <c r="B196" s="21" t="s">
        <v>66</v>
      </c>
      <c r="C196" s="22" t="s">
        <v>67</v>
      </c>
      <c r="D196" s="23">
        <f>'Lista de recursos'!F71</f>
        <v>0.35615499999999994</v>
      </c>
      <c r="E196" s="24">
        <v>1</v>
      </c>
      <c r="F196" s="29">
        <v>1</v>
      </c>
      <c r="G196" s="25">
        <v>51.22</v>
      </c>
      <c r="H196" s="23">
        <f>PRODUCT(D196:G196)</f>
        <v>18.2422591</v>
      </c>
    </row>
    <row r="197" spans="1:9" ht="12.75">
      <c r="A197" s="24"/>
      <c r="B197" s="21"/>
      <c r="C197" s="22"/>
      <c r="D197" s="23"/>
      <c r="E197" s="24"/>
      <c r="F197" s="29"/>
      <c r="G197" s="25"/>
      <c r="H197" s="23">
        <f>SUM(H193:H196)</f>
        <v>3655.4422591</v>
      </c>
      <c r="I197" s="143"/>
    </row>
    <row r="198" spans="1:8" ht="12.75">
      <c r="A198" s="19"/>
      <c r="B198" s="175" t="s">
        <v>60</v>
      </c>
      <c r="C198" s="22"/>
      <c r="D198" s="23"/>
      <c r="E198" s="24"/>
      <c r="F198" s="29"/>
      <c r="G198" s="25"/>
      <c r="H198" s="23"/>
    </row>
    <row r="199" spans="1:8" ht="12.75">
      <c r="A199" s="24"/>
      <c r="B199" s="21" t="s">
        <v>62</v>
      </c>
      <c r="C199" s="22" t="s">
        <v>7</v>
      </c>
      <c r="D199" s="23">
        <f>D193</f>
        <v>900</v>
      </c>
      <c r="E199" s="24">
        <v>1</v>
      </c>
      <c r="F199" s="29">
        <v>1</v>
      </c>
      <c r="G199" s="25">
        <v>0.512</v>
      </c>
      <c r="H199" s="23">
        <f>PRODUCT(D199:G199)</f>
        <v>460.8</v>
      </c>
    </row>
    <row r="200" spans="1:8" ht="12.75">
      <c r="A200" s="24"/>
      <c r="B200" s="21" t="s">
        <v>63</v>
      </c>
      <c r="C200" s="22" t="s">
        <v>7</v>
      </c>
      <c r="D200" s="23">
        <f>D194</f>
        <v>1100</v>
      </c>
      <c r="E200" s="24">
        <v>1</v>
      </c>
      <c r="F200" s="29">
        <v>1</v>
      </c>
      <c r="G200" s="25">
        <v>0.71</v>
      </c>
      <c r="H200" s="23">
        <f>PRODUCT(D200:G200)</f>
        <v>781</v>
      </c>
    </row>
    <row r="201" spans="1:8" ht="12.75">
      <c r="A201" s="24"/>
      <c r="B201" s="21" t="s">
        <v>64</v>
      </c>
      <c r="C201" s="22" t="s">
        <v>65</v>
      </c>
      <c r="D201" s="23">
        <f>D195</f>
        <v>270</v>
      </c>
      <c r="E201" s="24">
        <v>1</v>
      </c>
      <c r="F201" s="29">
        <v>1</v>
      </c>
      <c r="G201" s="25">
        <v>8.31</v>
      </c>
      <c r="H201" s="23">
        <f>PRODUCT(D201:G201)</f>
        <v>2243.7000000000003</v>
      </c>
    </row>
    <row r="202" spans="1:8" ht="12.75">
      <c r="A202" s="24"/>
      <c r="B202" s="21" t="s">
        <v>66</v>
      </c>
      <c r="C202" s="22" t="s">
        <v>67</v>
      </c>
      <c r="D202" s="23">
        <f>D196</f>
        <v>0.35615499999999994</v>
      </c>
      <c r="E202" s="24">
        <v>1</v>
      </c>
      <c r="F202" s="29">
        <v>1</v>
      </c>
      <c r="G202" s="25">
        <v>53.06</v>
      </c>
      <c r="H202" s="23">
        <f>PRODUCT(D202:G202)</f>
        <v>18.8975843</v>
      </c>
    </row>
    <row r="203" spans="1:8" ht="12.75">
      <c r="A203" s="24"/>
      <c r="B203" s="21"/>
      <c r="C203" s="22"/>
      <c r="D203" s="23"/>
      <c r="E203" s="24"/>
      <c r="F203" s="29"/>
      <c r="G203" s="25"/>
      <c r="H203" s="23">
        <f>SUM(H199:H202)</f>
        <v>3504.3975843</v>
      </c>
    </row>
    <row r="204" spans="1:8" ht="12.75">
      <c r="A204" s="19"/>
      <c r="B204" s="175" t="s">
        <v>68</v>
      </c>
      <c r="C204" s="22"/>
      <c r="D204" s="23"/>
      <c r="E204" s="24"/>
      <c r="F204" s="29"/>
      <c r="G204" s="25"/>
      <c r="H204" s="23"/>
    </row>
    <row r="205" spans="1:8" ht="12.75">
      <c r="A205" s="24"/>
      <c r="B205" s="21" t="s">
        <v>70</v>
      </c>
      <c r="C205" s="22" t="s">
        <v>7</v>
      </c>
      <c r="D205" s="23">
        <f>D199</f>
        <v>900</v>
      </c>
      <c r="E205" s="24">
        <v>1</v>
      </c>
      <c r="F205" s="29">
        <v>1</v>
      </c>
      <c r="G205" s="25">
        <v>0.5229</v>
      </c>
      <c r="H205" s="23">
        <f>PRODUCT(D205:G205)</f>
        <v>470.61</v>
      </c>
    </row>
    <row r="206" spans="1:8" ht="12.75">
      <c r="A206" s="24"/>
      <c r="B206" s="21" t="s">
        <v>63</v>
      </c>
      <c r="C206" s="22" t="s">
        <v>7</v>
      </c>
      <c r="D206" s="23">
        <f>D200</f>
        <v>1100</v>
      </c>
      <c r="E206" s="24">
        <v>1</v>
      </c>
      <c r="F206" s="29">
        <v>1</v>
      </c>
      <c r="G206" s="25">
        <v>0.8544</v>
      </c>
      <c r="H206" s="23">
        <f>PRODUCT(D206:G206)</f>
        <v>939.84</v>
      </c>
    </row>
    <row r="207" spans="1:9" ht="12.75">
      <c r="A207" s="24"/>
      <c r="B207" s="21" t="s">
        <v>64</v>
      </c>
      <c r="C207" s="22" t="s">
        <v>65</v>
      </c>
      <c r="D207" s="23">
        <f>D201</f>
        <v>270</v>
      </c>
      <c r="E207" s="24">
        <v>1</v>
      </c>
      <c r="F207" s="29">
        <v>1</v>
      </c>
      <c r="G207" s="25">
        <v>6.4</v>
      </c>
      <c r="H207" s="23">
        <f>PRODUCT(D207:G207)</f>
        <v>1728</v>
      </c>
      <c r="I207" s="158"/>
    </row>
    <row r="208" spans="1:9" ht="12.75">
      <c r="A208" s="24"/>
      <c r="B208" s="21" t="s">
        <v>66</v>
      </c>
      <c r="C208" s="22" t="s">
        <v>67</v>
      </c>
      <c r="D208" s="23">
        <f>D202</f>
        <v>0.35615499999999994</v>
      </c>
      <c r="E208" s="24">
        <v>1</v>
      </c>
      <c r="F208" s="29">
        <v>1</v>
      </c>
      <c r="G208" s="25">
        <v>60</v>
      </c>
      <c r="H208" s="23">
        <f>PRODUCT(D208:G208)</f>
        <v>21.369299999999996</v>
      </c>
      <c r="I208" s="143"/>
    </row>
    <row r="209" spans="1:9" ht="12.75">
      <c r="A209" s="24"/>
      <c r="B209" s="21"/>
      <c r="C209" s="22"/>
      <c r="D209" s="23"/>
      <c r="E209" s="24"/>
      <c r="F209" s="29"/>
      <c r="G209" s="25"/>
      <c r="H209" s="23">
        <f>SUM(H205:H208)</f>
        <v>3159.8192999999997</v>
      </c>
      <c r="I209" s="143"/>
    </row>
    <row r="210" spans="1:8" ht="12.75">
      <c r="A210" s="19"/>
      <c r="B210" s="175" t="s">
        <v>71</v>
      </c>
      <c r="C210" s="22"/>
      <c r="D210" s="23"/>
      <c r="E210" s="24"/>
      <c r="F210" s="29"/>
      <c r="G210" s="25"/>
      <c r="H210" s="23"/>
    </row>
    <row r="211" spans="1:8" ht="12.75">
      <c r="A211" s="24"/>
      <c r="B211" s="21" t="s">
        <v>72</v>
      </c>
      <c r="C211" s="22" t="s">
        <v>73</v>
      </c>
      <c r="D211" s="23">
        <f>'Lista de recursos'!F149</f>
        <v>736.6324999999999</v>
      </c>
      <c r="E211" s="24">
        <v>1</v>
      </c>
      <c r="F211" s="29">
        <v>3</v>
      </c>
      <c r="G211" s="25">
        <v>1</v>
      </c>
      <c r="H211" s="23">
        <f>PRODUCT(D211:G211)</f>
        <v>2209.8975</v>
      </c>
    </row>
    <row r="212" spans="1:8" ht="12.75">
      <c r="A212" s="24"/>
      <c r="B212" s="21" t="s">
        <v>74</v>
      </c>
      <c r="C212" s="22" t="s">
        <v>73</v>
      </c>
      <c r="D212" s="23">
        <f>'Lista de recursos'!F145</f>
        <v>956.1675</v>
      </c>
      <c r="E212" s="24">
        <v>1</v>
      </c>
      <c r="F212" s="29">
        <v>3</v>
      </c>
      <c r="G212" s="25">
        <v>1</v>
      </c>
      <c r="H212" s="23">
        <f>PRODUCT(D212:G212)</f>
        <v>2868.5025</v>
      </c>
    </row>
    <row r="213" spans="1:9" ht="12.75">
      <c r="A213" s="24"/>
      <c r="B213" s="21" t="s">
        <v>75</v>
      </c>
      <c r="C213" s="22" t="s">
        <v>73</v>
      </c>
      <c r="D213" s="23">
        <f>'Lista de recursos'!F150</f>
        <v>1719.2499999999998</v>
      </c>
      <c r="E213" s="24">
        <v>1</v>
      </c>
      <c r="F213" s="29">
        <v>3</v>
      </c>
      <c r="G213" s="25">
        <v>1</v>
      </c>
      <c r="H213" s="23">
        <f>PRODUCT(D213:G213)</f>
        <v>5157.749999999999</v>
      </c>
      <c r="I213" s="143"/>
    </row>
    <row r="214" spans="1:8" ht="12.75">
      <c r="A214" s="24"/>
      <c r="B214" s="21" t="s">
        <v>76</v>
      </c>
      <c r="C214" s="22" t="s">
        <v>77</v>
      </c>
      <c r="D214" s="23">
        <v>1246.42</v>
      </c>
      <c r="E214" s="24">
        <v>1</v>
      </c>
      <c r="F214" s="29">
        <v>1</v>
      </c>
      <c r="G214" s="25">
        <v>8</v>
      </c>
      <c r="H214" s="23">
        <f>PRODUCT(D214:G214)</f>
        <v>9971.36</v>
      </c>
    </row>
    <row r="215" spans="1:9" ht="12.75">
      <c r="A215" s="24"/>
      <c r="B215" s="21"/>
      <c r="C215" s="22"/>
      <c r="D215" s="23"/>
      <c r="E215" s="24"/>
      <c r="F215" s="29"/>
      <c r="G215" s="25"/>
      <c r="H215" s="23">
        <f>SUM(H211:H214)/14.6477777777776</f>
        <v>1379.5614806948508</v>
      </c>
      <c r="I215" s="143"/>
    </row>
    <row r="216" spans="1:9" ht="12.75">
      <c r="A216" s="19"/>
      <c r="B216" s="175" t="s">
        <v>78</v>
      </c>
      <c r="C216" s="22"/>
      <c r="D216" s="23"/>
      <c r="E216" s="24"/>
      <c r="F216" s="29"/>
      <c r="G216" s="25"/>
      <c r="H216" s="23"/>
      <c r="I216" s="143"/>
    </row>
    <row r="217" spans="1:8" ht="12.75">
      <c r="A217" s="24"/>
      <c r="B217" s="21" t="s">
        <v>70</v>
      </c>
      <c r="C217" s="22" t="s">
        <v>7</v>
      </c>
      <c r="D217" s="23">
        <f>D205</f>
        <v>900</v>
      </c>
      <c r="E217" s="24">
        <v>1</v>
      </c>
      <c r="F217" s="29">
        <v>1</v>
      </c>
      <c r="G217" s="25">
        <v>0.978</v>
      </c>
      <c r="H217" s="23">
        <f>PRODUCT(D217:G217)</f>
        <v>880.1999999999999</v>
      </c>
    </row>
    <row r="218" spans="1:8" ht="12.75">
      <c r="A218" s="24"/>
      <c r="B218" s="21" t="s">
        <v>79</v>
      </c>
      <c r="C218" s="22" t="s">
        <v>73</v>
      </c>
      <c r="D218" s="23">
        <f>'Lista de recursos'!F148</f>
        <v>572.6424999999999</v>
      </c>
      <c r="E218" s="24">
        <v>1</v>
      </c>
      <c r="F218" s="29">
        <v>1</v>
      </c>
      <c r="G218" s="25">
        <v>0.5</v>
      </c>
      <c r="H218" s="23">
        <f>PRODUCT(D218:G218)</f>
        <v>286.32124999999996</v>
      </c>
    </row>
    <row r="219" spans="1:8" ht="12.75">
      <c r="A219" s="24"/>
      <c r="B219" s="21" t="s">
        <v>64</v>
      </c>
      <c r="C219" s="22" t="s">
        <v>65</v>
      </c>
      <c r="D219" s="23">
        <f>D207</f>
        <v>270</v>
      </c>
      <c r="E219" s="24">
        <v>1</v>
      </c>
      <c r="F219" s="29">
        <v>1</v>
      </c>
      <c r="G219" s="25">
        <v>11.51</v>
      </c>
      <c r="H219" s="23">
        <f>PRODUCT(D219:G219)</f>
        <v>3107.7</v>
      </c>
    </row>
    <row r="220" spans="1:8" ht="12.75">
      <c r="A220" s="24"/>
      <c r="B220" s="21" t="s">
        <v>66</v>
      </c>
      <c r="C220" s="22" t="s">
        <v>67</v>
      </c>
      <c r="D220" s="23">
        <f>D208</f>
        <v>0.35615499999999994</v>
      </c>
      <c r="E220" s="24">
        <v>1</v>
      </c>
      <c r="F220" s="29">
        <v>1</v>
      </c>
      <c r="G220" s="25">
        <v>69.04</v>
      </c>
      <c r="H220" s="23">
        <f>PRODUCT(D220:G220)</f>
        <v>24.588941199999997</v>
      </c>
    </row>
    <row r="221" spans="1:8" ht="12.75">
      <c r="A221" s="24"/>
      <c r="B221" s="21"/>
      <c r="C221" s="22"/>
      <c r="D221" s="23"/>
      <c r="E221" s="24"/>
      <c r="F221" s="29"/>
      <c r="G221" s="25"/>
      <c r="H221" s="23">
        <f>SUM(H217:H220)</f>
        <v>4298.810191199999</v>
      </c>
    </row>
    <row r="222" spans="1:8" ht="12.75">
      <c r="A222" s="19"/>
      <c r="B222" s="175" t="s">
        <v>80</v>
      </c>
      <c r="C222" s="22"/>
      <c r="D222" s="23"/>
      <c r="E222" s="24"/>
      <c r="F222" s="29"/>
      <c r="G222" s="25"/>
      <c r="H222" s="23"/>
    </row>
    <row r="223" spans="1:8" ht="12.75">
      <c r="A223" s="24"/>
      <c r="B223" s="21" t="s">
        <v>81</v>
      </c>
      <c r="C223" s="22" t="s">
        <v>7</v>
      </c>
      <c r="D223" s="23">
        <f>'Lista de recursos'!F20</f>
        <v>1195</v>
      </c>
      <c r="E223" s="24">
        <v>1</v>
      </c>
      <c r="F223" s="29">
        <v>1</v>
      </c>
      <c r="G223" s="25">
        <v>1</v>
      </c>
      <c r="H223" s="23">
        <f>PRODUCT(D223:G223)</f>
        <v>1195</v>
      </c>
    </row>
    <row r="224" spans="1:8" ht="12.75">
      <c r="A224" s="24"/>
      <c r="B224" s="21" t="s">
        <v>79</v>
      </c>
      <c r="C224" s="22" t="s">
        <v>73</v>
      </c>
      <c r="D224" s="23">
        <f>D218</f>
        <v>572.6424999999999</v>
      </c>
      <c r="E224" s="24">
        <v>1</v>
      </c>
      <c r="F224" s="29">
        <v>1</v>
      </c>
      <c r="G224" s="25">
        <v>0.5</v>
      </c>
      <c r="H224" s="23">
        <f>PRODUCT(D224:G224)</f>
        <v>286.32124999999996</v>
      </c>
    </row>
    <row r="225" spans="1:8" ht="12.75">
      <c r="A225" s="24"/>
      <c r="B225" s="21" t="s">
        <v>82</v>
      </c>
      <c r="C225" s="22" t="s">
        <v>65</v>
      </c>
      <c r="D225" s="23">
        <f>'Lista de recursos'!D30</f>
        <v>247.5026101694915</v>
      </c>
      <c r="E225" s="24">
        <v>1</v>
      </c>
      <c r="F225" s="29">
        <v>1</v>
      </c>
      <c r="G225" s="25">
        <v>3.06</v>
      </c>
      <c r="H225" s="23">
        <f>PRODUCT(D225:G225)</f>
        <v>757.357987118644</v>
      </c>
    </row>
    <row r="226" spans="1:8" ht="12.75">
      <c r="A226" s="24"/>
      <c r="B226" s="21"/>
      <c r="C226" s="22"/>
      <c r="D226" s="23"/>
      <c r="E226" s="24"/>
      <c r="F226" s="29"/>
      <c r="G226" s="25"/>
      <c r="H226" s="23">
        <f>SUM(H223:H225)</f>
        <v>2238.679237118644</v>
      </c>
    </row>
    <row r="227" spans="1:8" ht="12.75">
      <c r="A227" s="19"/>
      <c r="B227" s="175" t="s">
        <v>83</v>
      </c>
      <c r="C227" s="22"/>
      <c r="D227" s="23"/>
      <c r="E227" s="24"/>
      <c r="F227" s="29"/>
      <c r="G227" s="25"/>
      <c r="H227" s="23"/>
    </row>
    <row r="228" spans="1:8" ht="12.75">
      <c r="A228" s="24"/>
      <c r="B228" s="21" t="s">
        <v>79</v>
      </c>
      <c r="C228" s="22" t="s">
        <v>73</v>
      </c>
      <c r="D228" s="23">
        <f>D224</f>
        <v>572.6424999999999</v>
      </c>
      <c r="E228" s="24">
        <v>1</v>
      </c>
      <c r="F228" s="29">
        <v>1</v>
      </c>
      <c r="G228" s="25">
        <v>0.5</v>
      </c>
      <c r="H228" s="23">
        <f>PRODUCT(D228:G228)</f>
        <v>286.32124999999996</v>
      </c>
    </row>
    <row r="229" spans="1:8" ht="12.75">
      <c r="A229" s="24"/>
      <c r="B229" s="21" t="s">
        <v>64</v>
      </c>
      <c r="C229" s="22" t="s">
        <v>65</v>
      </c>
      <c r="D229" s="23">
        <f>D219</f>
        <v>270</v>
      </c>
      <c r="E229" s="24">
        <v>1</v>
      </c>
      <c r="F229" s="29">
        <v>1</v>
      </c>
      <c r="G229" s="25">
        <v>9.46</v>
      </c>
      <c r="H229" s="23">
        <f>PRODUCT(D229:G229)</f>
        <v>2554.2000000000003</v>
      </c>
    </row>
    <row r="230" spans="1:8" ht="12.75">
      <c r="A230" s="24"/>
      <c r="B230" s="21" t="s">
        <v>66</v>
      </c>
      <c r="C230" s="22" t="s">
        <v>67</v>
      </c>
      <c r="D230" s="23">
        <f>D220</f>
        <v>0.35615499999999994</v>
      </c>
      <c r="E230" s="24">
        <v>1</v>
      </c>
      <c r="F230" s="29">
        <v>1</v>
      </c>
      <c r="G230" s="25">
        <v>45.24</v>
      </c>
      <c r="H230" s="23">
        <f>PRODUCT(D230:G230)</f>
        <v>16.1124522</v>
      </c>
    </row>
    <row r="231" spans="1:8" ht="12.75">
      <c r="A231" s="24"/>
      <c r="B231" s="21" t="s">
        <v>80</v>
      </c>
      <c r="C231" s="22" t="s">
        <v>7</v>
      </c>
      <c r="D231" s="23">
        <f>H226</f>
        <v>2238.679237118644</v>
      </c>
      <c r="E231" s="24">
        <v>1</v>
      </c>
      <c r="F231" s="29">
        <v>1</v>
      </c>
      <c r="G231" s="25">
        <v>1</v>
      </c>
      <c r="H231" s="23">
        <f>PRODUCT(D231:G231)</f>
        <v>2238.679237118644</v>
      </c>
    </row>
    <row r="232" spans="1:8" ht="12.75">
      <c r="A232" s="24"/>
      <c r="B232" s="21"/>
      <c r="C232" s="22"/>
      <c r="D232" s="23"/>
      <c r="E232" s="24"/>
      <c r="F232" s="29"/>
      <c r="G232" s="25"/>
      <c r="H232" s="23">
        <f>SUM(H228:H231)</f>
        <v>5095.312939318645</v>
      </c>
    </row>
    <row r="233" spans="1:12" s="4" customFormat="1" ht="12.75">
      <c r="A233" s="26"/>
      <c r="B233" s="175" t="s">
        <v>84</v>
      </c>
      <c r="C233" s="22"/>
      <c r="D233" s="23"/>
      <c r="E233" s="24"/>
      <c r="F233" s="29"/>
      <c r="G233" s="25"/>
      <c r="H233" s="23"/>
      <c r="J233" s="14"/>
      <c r="L233" s="11"/>
    </row>
    <row r="234" spans="1:8" ht="12.75">
      <c r="A234" s="24"/>
      <c r="B234" s="21" t="s">
        <v>81</v>
      </c>
      <c r="C234" s="22" t="s">
        <v>7</v>
      </c>
      <c r="D234" s="23">
        <f>D223</f>
        <v>1195</v>
      </c>
      <c r="E234" s="24">
        <v>0.98</v>
      </c>
      <c r="F234" s="29">
        <v>1</v>
      </c>
      <c r="G234" s="25">
        <v>1</v>
      </c>
      <c r="H234" s="23">
        <f>PRODUCT(D234:G234)</f>
        <v>1171.1</v>
      </c>
    </row>
    <row r="235" spans="1:8" ht="12.75">
      <c r="A235" s="24"/>
      <c r="B235" s="21" t="s">
        <v>79</v>
      </c>
      <c r="C235" s="22" t="s">
        <v>73</v>
      </c>
      <c r="D235" s="23">
        <f>D228</f>
        <v>572.6424999999999</v>
      </c>
      <c r="E235" s="24">
        <v>1</v>
      </c>
      <c r="F235" s="29">
        <v>1</v>
      </c>
      <c r="G235" s="25">
        <v>0.5</v>
      </c>
      <c r="H235" s="23">
        <f>PRODUCT(D235:G235)</f>
        <v>286.32124999999996</v>
      </c>
    </row>
    <row r="236" spans="1:8" ht="12.75">
      <c r="A236" s="24"/>
      <c r="B236" s="21" t="s">
        <v>64</v>
      </c>
      <c r="C236" s="22" t="s">
        <v>65</v>
      </c>
      <c r="D236" s="23">
        <f>D229</f>
        <v>270</v>
      </c>
      <c r="E236" s="24">
        <v>1</v>
      </c>
      <c r="F236" s="29">
        <v>1</v>
      </c>
      <c r="G236" s="25">
        <v>17.66</v>
      </c>
      <c r="H236" s="23">
        <f>PRODUCT(D236:G236)</f>
        <v>4768.2</v>
      </c>
    </row>
    <row r="237" spans="1:8" ht="12.75">
      <c r="A237" s="24"/>
      <c r="B237" s="21" t="s">
        <v>82</v>
      </c>
      <c r="C237" s="22" t="s">
        <v>65</v>
      </c>
      <c r="D237" s="23">
        <f>D225</f>
        <v>247.5026101694915</v>
      </c>
      <c r="E237" s="24">
        <v>1</v>
      </c>
      <c r="F237" s="29">
        <v>1</v>
      </c>
      <c r="G237" s="25">
        <v>3.06</v>
      </c>
      <c r="H237" s="23">
        <f>PRODUCT(D237:G237)</f>
        <v>757.357987118644</v>
      </c>
    </row>
    <row r="238" spans="1:8" ht="12.75">
      <c r="A238" s="24"/>
      <c r="B238" s="21" t="s">
        <v>66</v>
      </c>
      <c r="C238" s="22" t="s">
        <v>67</v>
      </c>
      <c r="D238" s="23">
        <f>D230</f>
        <v>0.35615499999999994</v>
      </c>
      <c r="E238" s="24">
        <v>1</v>
      </c>
      <c r="F238" s="29">
        <v>1</v>
      </c>
      <c r="G238" s="25">
        <v>100</v>
      </c>
      <c r="H238" s="23">
        <f>PRODUCT(D238:G238)</f>
        <v>35.6155</v>
      </c>
    </row>
    <row r="239" spans="1:8" ht="12.75">
      <c r="A239" s="24"/>
      <c r="B239" s="21"/>
      <c r="C239" s="22"/>
      <c r="D239" s="23"/>
      <c r="E239" s="24"/>
      <c r="F239" s="29"/>
      <c r="G239" s="25"/>
      <c r="H239" s="23">
        <f>SUM(H234:H238)</f>
        <v>7018.594737118644</v>
      </c>
    </row>
    <row r="240" spans="1:8" ht="12.75">
      <c r="A240" s="19"/>
      <c r="B240" s="175" t="s">
        <v>85</v>
      </c>
      <c r="C240" s="22"/>
      <c r="D240" s="23"/>
      <c r="E240" s="24"/>
      <c r="F240" s="29"/>
      <c r="G240" s="25"/>
      <c r="H240" s="23"/>
    </row>
    <row r="241" spans="1:8" ht="12.75">
      <c r="A241" s="24"/>
      <c r="B241" s="21" t="s">
        <v>70</v>
      </c>
      <c r="C241" s="22" t="s">
        <v>7</v>
      </c>
      <c r="D241" s="23">
        <f>D217</f>
        <v>900</v>
      </c>
      <c r="E241" s="24">
        <v>1</v>
      </c>
      <c r="F241" s="29">
        <v>1</v>
      </c>
      <c r="G241" s="25">
        <v>1</v>
      </c>
      <c r="H241" s="23">
        <f>PRODUCT(D241:G241)/0.98</f>
        <v>918.3673469387755</v>
      </c>
    </row>
    <row r="242" spans="1:8" ht="12.75">
      <c r="A242" s="24"/>
      <c r="B242" s="21" t="s">
        <v>79</v>
      </c>
      <c r="C242" s="22" t="s">
        <v>73</v>
      </c>
      <c r="D242" s="23">
        <f>D218</f>
        <v>572.6424999999999</v>
      </c>
      <c r="E242" s="24">
        <v>1</v>
      </c>
      <c r="F242" s="29">
        <v>1</v>
      </c>
      <c r="G242" s="25">
        <v>0.5</v>
      </c>
      <c r="H242" s="23">
        <f>PRODUCT(D242:G242)</f>
        <v>286.32124999999996</v>
      </c>
    </row>
    <row r="243" spans="1:8" ht="12.75">
      <c r="A243" s="24"/>
      <c r="B243" s="21" t="s">
        <v>82</v>
      </c>
      <c r="C243" s="22" t="s">
        <v>65</v>
      </c>
      <c r="D243" s="23">
        <f>D237</f>
        <v>247.5026101694915</v>
      </c>
      <c r="E243" s="24">
        <v>1</v>
      </c>
      <c r="F243" s="29">
        <v>1</v>
      </c>
      <c r="G243" s="25">
        <v>3.06</v>
      </c>
      <c r="H243" s="23">
        <f>PRODUCT(D243:G243)</f>
        <v>757.357987118644</v>
      </c>
    </row>
    <row r="244" spans="1:8" ht="12.75">
      <c r="A244" s="24"/>
      <c r="B244" s="21"/>
      <c r="C244" s="22"/>
      <c r="D244" s="23"/>
      <c r="E244" s="24"/>
      <c r="F244" s="29"/>
      <c r="G244" s="25"/>
      <c r="H244" s="23">
        <f>SUM(H241:H243)</f>
        <v>1962.0465840574193</v>
      </c>
    </row>
    <row r="245" spans="1:8" ht="12.75">
      <c r="A245" s="19"/>
      <c r="B245" s="175" t="s">
        <v>86</v>
      </c>
      <c r="C245" s="22"/>
      <c r="D245" s="23"/>
      <c r="E245" s="24"/>
      <c r="F245" s="29"/>
      <c r="G245" s="25"/>
      <c r="H245" s="23"/>
    </row>
    <row r="246" spans="1:8" ht="12.75">
      <c r="A246" s="24"/>
      <c r="B246" s="21" t="s">
        <v>79</v>
      </c>
      <c r="C246" s="22" t="s">
        <v>73</v>
      </c>
      <c r="D246" s="23">
        <f>D242</f>
        <v>572.6424999999999</v>
      </c>
      <c r="E246" s="24">
        <v>1</v>
      </c>
      <c r="F246" s="29">
        <v>1</v>
      </c>
      <c r="G246" s="25">
        <v>0.5</v>
      </c>
      <c r="H246" s="23">
        <f>PRODUCT(D246:G246)</f>
        <v>286.32124999999996</v>
      </c>
    </row>
    <row r="247" spans="1:8" ht="12.75">
      <c r="A247" s="24"/>
      <c r="B247" s="21" t="s">
        <v>64</v>
      </c>
      <c r="C247" s="22" t="s">
        <v>65</v>
      </c>
      <c r="D247" s="23">
        <f>D236</f>
        <v>270</v>
      </c>
      <c r="E247" s="24">
        <v>1</v>
      </c>
      <c r="F247" s="29">
        <v>1</v>
      </c>
      <c r="G247" s="25">
        <v>5.24</v>
      </c>
      <c r="H247" s="23">
        <f>PRODUCT(D247:G247)</f>
        <v>1414.8</v>
      </c>
    </row>
    <row r="248" spans="1:8" ht="12.75">
      <c r="A248" s="24"/>
      <c r="B248" s="21" t="s">
        <v>66</v>
      </c>
      <c r="C248" s="22" t="s">
        <v>67</v>
      </c>
      <c r="D248" s="23">
        <f>D238</f>
        <v>0.35615499999999994</v>
      </c>
      <c r="E248" s="24">
        <v>1</v>
      </c>
      <c r="F248" s="29">
        <v>1</v>
      </c>
      <c r="G248" s="25">
        <v>70</v>
      </c>
      <c r="H248" s="23">
        <f>PRODUCT(D248:G248)</f>
        <v>24.930849999999996</v>
      </c>
    </row>
    <row r="249" spans="1:8" ht="12.75">
      <c r="A249" s="24"/>
      <c r="B249" s="21" t="s">
        <v>85</v>
      </c>
      <c r="C249" s="22" t="s">
        <v>7</v>
      </c>
      <c r="D249" s="23">
        <f>H244</f>
        <v>1962.0465840574193</v>
      </c>
      <c r="E249" s="24">
        <v>1</v>
      </c>
      <c r="F249" s="29">
        <v>1</v>
      </c>
      <c r="G249" s="25">
        <v>1</v>
      </c>
      <c r="H249" s="23">
        <f>PRODUCT(D249:G249)/0.83</f>
        <v>2363.911547057132</v>
      </c>
    </row>
    <row r="250" spans="1:8" ht="12.75">
      <c r="A250" s="24"/>
      <c r="B250" s="21"/>
      <c r="C250" s="22"/>
      <c r="D250" s="23"/>
      <c r="E250" s="24"/>
      <c r="F250" s="29"/>
      <c r="G250" s="25"/>
      <c r="H250" s="23">
        <f>SUM(H246:H249)</f>
        <v>4089.9636470571318</v>
      </c>
    </row>
    <row r="251" spans="1:8" ht="12.75">
      <c r="A251" s="24"/>
      <c r="B251" s="175" t="s">
        <v>640</v>
      </c>
      <c r="C251" s="22"/>
      <c r="D251" s="23"/>
      <c r="E251" s="24"/>
      <c r="F251" s="29"/>
      <c r="G251" s="25"/>
      <c r="H251" s="23"/>
    </row>
    <row r="252" spans="1:8" ht="12.75">
      <c r="A252" s="24"/>
      <c r="B252" s="21" t="s">
        <v>47</v>
      </c>
      <c r="C252" s="22" t="s">
        <v>39</v>
      </c>
      <c r="D252" s="23">
        <f>D263</f>
        <v>2135</v>
      </c>
      <c r="E252" s="24">
        <v>1</v>
      </c>
      <c r="F252" s="29">
        <v>1</v>
      </c>
      <c r="G252" s="25">
        <v>0.0152</v>
      </c>
      <c r="H252" s="23">
        <f aca="true" t="shared" si="8" ref="H252:H260">PRODUCT(D252:G252)</f>
        <v>32.452</v>
      </c>
    </row>
    <row r="253" spans="1:8" ht="12.75">
      <c r="A253" s="24"/>
      <c r="B253" s="21" t="s">
        <v>42</v>
      </c>
      <c r="C253" s="22" t="s">
        <v>43</v>
      </c>
      <c r="D253" s="23">
        <f aca="true" t="shared" si="9" ref="D253:D258">D264</f>
        <v>39.099999999999994</v>
      </c>
      <c r="E253" s="24">
        <v>1</v>
      </c>
      <c r="F253" s="29">
        <v>1</v>
      </c>
      <c r="G253" s="25">
        <v>0.21</v>
      </c>
      <c r="H253" s="23">
        <f t="shared" si="8"/>
        <v>8.210999999999999</v>
      </c>
    </row>
    <row r="254" spans="1:8" ht="12.75">
      <c r="A254" s="24"/>
      <c r="B254" s="21" t="s">
        <v>90</v>
      </c>
      <c r="C254" s="22" t="s">
        <v>15</v>
      </c>
      <c r="D254" s="23">
        <f>'Lista de recursos'!F25</f>
        <v>24</v>
      </c>
      <c r="E254" s="24">
        <v>1</v>
      </c>
      <c r="F254" s="29">
        <v>1.05</v>
      </c>
      <c r="G254" s="25">
        <v>12.5</v>
      </c>
      <c r="H254" s="23">
        <f t="shared" si="8"/>
        <v>315.00000000000006</v>
      </c>
    </row>
    <row r="255" spans="1:8" ht="12.75">
      <c r="A255" s="24"/>
      <c r="B255" s="21" t="s">
        <v>68</v>
      </c>
      <c r="C255" s="22" t="s">
        <v>7</v>
      </c>
      <c r="D255" s="23">
        <f t="shared" si="9"/>
        <v>3159.8192999999997</v>
      </c>
      <c r="E255" s="24">
        <v>1</v>
      </c>
      <c r="F255" s="29">
        <v>1</v>
      </c>
      <c r="G255" s="25">
        <v>0.0286</v>
      </c>
      <c r="H255" s="23">
        <f t="shared" si="8"/>
        <v>90.37083197999999</v>
      </c>
    </row>
    <row r="256" spans="1:8" ht="12.75">
      <c r="A256" s="24"/>
      <c r="B256" s="21" t="s">
        <v>78</v>
      </c>
      <c r="C256" s="22" t="s">
        <v>7</v>
      </c>
      <c r="D256" s="23">
        <f t="shared" si="9"/>
        <v>4298.810191199999</v>
      </c>
      <c r="E256" s="24">
        <v>1</v>
      </c>
      <c r="F256" s="29">
        <v>1</v>
      </c>
      <c r="G256" s="25">
        <v>0.031</v>
      </c>
      <c r="H256" s="23">
        <f t="shared" si="8"/>
        <v>133.26311592719998</v>
      </c>
    </row>
    <row r="257" spans="1:8" ht="12.75">
      <c r="A257" s="24"/>
      <c r="B257" s="21" t="s">
        <v>87</v>
      </c>
      <c r="C257" s="22" t="s">
        <v>15</v>
      </c>
      <c r="D257" s="23">
        <f>'Lista de recursos'!F151</f>
        <v>17.74</v>
      </c>
      <c r="E257" s="24">
        <v>1</v>
      </c>
      <c r="F257" s="29">
        <v>1</v>
      </c>
      <c r="G257" s="25">
        <v>13</v>
      </c>
      <c r="H257" s="23">
        <f t="shared" si="8"/>
        <v>230.61999999999998</v>
      </c>
    </row>
    <row r="258" spans="1:8" ht="12.75">
      <c r="A258" s="24"/>
      <c r="B258" s="21" t="s">
        <v>94</v>
      </c>
      <c r="C258" s="22" t="s">
        <v>13</v>
      </c>
      <c r="D258" s="23">
        <f t="shared" si="9"/>
        <v>10.924999999999999</v>
      </c>
      <c r="E258" s="24">
        <v>1</v>
      </c>
      <c r="F258" s="29">
        <v>1</v>
      </c>
      <c r="G258" s="25">
        <v>1</v>
      </c>
      <c r="H258" s="23">
        <f t="shared" si="8"/>
        <v>10.924999999999999</v>
      </c>
    </row>
    <row r="259" spans="1:8" ht="12.75">
      <c r="A259" s="24"/>
      <c r="B259" s="21" t="s">
        <v>496</v>
      </c>
      <c r="C259" s="22" t="s">
        <v>15</v>
      </c>
      <c r="D259" s="23">
        <f>'Lista de recursos'!F177</f>
        <v>1.33</v>
      </c>
      <c r="E259" s="24">
        <v>1</v>
      </c>
      <c r="F259" s="29">
        <v>1</v>
      </c>
      <c r="G259" s="25">
        <v>13</v>
      </c>
      <c r="H259" s="23">
        <f t="shared" si="8"/>
        <v>17.29</v>
      </c>
    </row>
    <row r="260" spans="1:8" ht="12.75">
      <c r="A260" s="24"/>
      <c r="B260" s="21" t="s">
        <v>497</v>
      </c>
      <c r="C260" s="22" t="s">
        <v>15</v>
      </c>
      <c r="D260" s="23">
        <f>'Lista de recursos'!F180</f>
        <v>0.65</v>
      </c>
      <c r="E260" s="24">
        <v>1</v>
      </c>
      <c r="F260" s="29">
        <v>1</v>
      </c>
      <c r="G260" s="25">
        <v>13</v>
      </c>
      <c r="H260" s="23">
        <f t="shared" si="8"/>
        <v>8.450000000000001</v>
      </c>
    </row>
    <row r="261" spans="1:8" ht="12.75">
      <c r="A261" s="24"/>
      <c r="B261" s="21"/>
      <c r="C261" s="22"/>
      <c r="D261" s="23"/>
      <c r="E261" s="24"/>
      <c r="F261" s="29"/>
      <c r="G261" s="25"/>
      <c r="H261" s="23">
        <f>SUM(H252:H260)</f>
        <v>846.5819479072001</v>
      </c>
    </row>
    <row r="262" spans="1:8" ht="12.75">
      <c r="A262" s="19"/>
      <c r="B262" s="175" t="s">
        <v>431</v>
      </c>
      <c r="C262" s="22"/>
      <c r="D262" s="23"/>
      <c r="E262" s="24"/>
      <c r="F262" s="29"/>
      <c r="G262" s="25"/>
      <c r="H262" s="23"/>
    </row>
    <row r="263" spans="1:8" ht="12.75">
      <c r="A263" s="24"/>
      <c r="B263" s="21" t="s">
        <v>47</v>
      </c>
      <c r="C263" s="22" t="s">
        <v>39</v>
      </c>
      <c r="D263" s="23">
        <f>'Lista de recursos'!F11</f>
        <v>2135</v>
      </c>
      <c r="E263" s="24">
        <v>1</v>
      </c>
      <c r="F263" s="29">
        <v>1</v>
      </c>
      <c r="G263" s="25">
        <v>0.024</v>
      </c>
      <c r="H263" s="23">
        <f aca="true" t="shared" si="10" ref="H263:H271">PRODUCT(D263:G263)</f>
        <v>51.24</v>
      </c>
    </row>
    <row r="264" spans="1:8" ht="12.75">
      <c r="A264" s="24"/>
      <c r="B264" s="21" t="s">
        <v>42</v>
      </c>
      <c r="C264" s="22" t="s">
        <v>43</v>
      </c>
      <c r="D264" s="23">
        <f>'Lista de recursos'!F16</f>
        <v>39.099999999999994</v>
      </c>
      <c r="E264" s="24">
        <v>1</v>
      </c>
      <c r="F264" s="29">
        <v>1</v>
      </c>
      <c r="G264" s="25">
        <v>0.21</v>
      </c>
      <c r="H264" s="23">
        <f t="shared" si="10"/>
        <v>8.210999999999999</v>
      </c>
    </row>
    <row r="265" spans="1:8" ht="12.75">
      <c r="A265" s="24"/>
      <c r="B265" s="21" t="s">
        <v>95</v>
      </c>
      <c r="C265" s="22" t="s">
        <v>15</v>
      </c>
      <c r="D265" s="23">
        <f>'Lista de recursos'!F26</f>
        <v>26.5</v>
      </c>
      <c r="E265" s="24">
        <v>1</v>
      </c>
      <c r="F265" s="29">
        <v>1.05</v>
      </c>
      <c r="G265" s="25">
        <v>12.5</v>
      </c>
      <c r="H265" s="23">
        <f>PRODUCT(D265:G265)</f>
        <v>347.81250000000006</v>
      </c>
    </row>
    <row r="266" spans="1:8" ht="12.75">
      <c r="A266" s="24"/>
      <c r="B266" s="21" t="s">
        <v>68</v>
      </c>
      <c r="C266" s="22" t="s">
        <v>7</v>
      </c>
      <c r="D266" s="23">
        <f>H209</f>
        <v>3159.8192999999997</v>
      </c>
      <c r="E266" s="24">
        <v>1</v>
      </c>
      <c r="F266" s="29">
        <v>1</v>
      </c>
      <c r="G266" s="25">
        <v>0.02869</v>
      </c>
      <c r="H266" s="23">
        <f>PRODUCT(D266:G266)</f>
        <v>90.65521571699999</v>
      </c>
    </row>
    <row r="267" spans="1:8" ht="12.75">
      <c r="A267" s="24"/>
      <c r="B267" s="21" t="s">
        <v>78</v>
      </c>
      <c r="C267" s="22" t="s">
        <v>7</v>
      </c>
      <c r="D267" s="23">
        <f>H221</f>
        <v>4298.810191199999</v>
      </c>
      <c r="E267" s="24">
        <v>1</v>
      </c>
      <c r="F267" s="29">
        <v>1</v>
      </c>
      <c r="G267" s="25">
        <v>0.0349</v>
      </c>
      <c r="H267" s="23">
        <f>PRODUCT(D267:G267)</f>
        <v>150.02847567287998</v>
      </c>
    </row>
    <row r="268" spans="1:8" ht="12.75">
      <c r="A268" s="24"/>
      <c r="B268" s="21" t="s">
        <v>93</v>
      </c>
      <c r="C268" s="22" t="s">
        <v>15</v>
      </c>
      <c r="D268" s="23">
        <f>'Lista de recursos'!F152</f>
        <v>16.39</v>
      </c>
      <c r="E268" s="24">
        <v>1</v>
      </c>
      <c r="F268" s="29">
        <v>1</v>
      </c>
      <c r="G268" s="25">
        <v>13</v>
      </c>
      <c r="H268" s="23">
        <f t="shared" si="10"/>
        <v>213.07</v>
      </c>
    </row>
    <row r="269" spans="1:8" ht="12.75">
      <c r="A269" s="24"/>
      <c r="B269" s="21" t="s">
        <v>94</v>
      </c>
      <c r="C269" s="22" t="s">
        <v>13</v>
      </c>
      <c r="D269" s="23">
        <f>'Lista de recursos'!F154</f>
        <v>10.924999999999999</v>
      </c>
      <c r="E269" s="24">
        <v>1</v>
      </c>
      <c r="F269" s="29">
        <v>1</v>
      </c>
      <c r="G269" s="25">
        <v>1</v>
      </c>
      <c r="H269" s="23">
        <f t="shared" si="10"/>
        <v>10.924999999999999</v>
      </c>
    </row>
    <row r="270" spans="1:8" ht="12.75">
      <c r="A270" s="24"/>
      <c r="B270" s="21" t="s">
        <v>496</v>
      </c>
      <c r="C270" s="22" t="s">
        <v>15</v>
      </c>
      <c r="D270" s="23">
        <f>'Lista de recursos'!F177</f>
        <v>1.33</v>
      </c>
      <c r="E270" s="24">
        <v>1</v>
      </c>
      <c r="F270" s="29">
        <v>1</v>
      </c>
      <c r="G270" s="25">
        <v>13</v>
      </c>
      <c r="H270" s="23">
        <f t="shared" si="10"/>
        <v>17.29</v>
      </c>
    </row>
    <row r="271" spans="1:8" ht="12.75">
      <c r="A271" s="24"/>
      <c r="B271" s="21" t="s">
        <v>497</v>
      </c>
      <c r="C271" s="22" t="s">
        <v>15</v>
      </c>
      <c r="D271" s="23">
        <f>'Lista de recursos'!F180</f>
        <v>0.65</v>
      </c>
      <c r="E271" s="24">
        <v>1</v>
      </c>
      <c r="F271" s="29">
        <v>1</v>
      </c>
      <c r="G271" s="25">
        <v>13</v>
      </c>
      <c r="H271" s="23">
        <f t="shared" si="10"/>
        <v>8.450000000000001</v>
      </c>
    </row>
    <row r="272" spans="1:8" ht="12.75">
      <c r="A272" s="24"/>
      <c r="B272" s="21"/>
      <c r="C272" s="22"/>
      <c r="D272" s="23"/>
      <c r="E272" s="24"/>
      <c r="F272" s="29"/>
      <c r="G272" s="25"/>
      <c r="H272" s="23">
        <f>SUM(H263:H271)</f>
        <v>897.68219138988</v>
      </c>
    </row>
    <row r="273" spans="1:8" ht="12.75">
      <c r="A273" s="19"/>
      <c r="B273" s="175" t="s">
        <v>403</v>
      </c>
      <c r="C273" s="22"/>
      <c r="D273" s="23"/>
      <c r="E273" s="24"/>
      <c r="F273" s="29"/>
      <c r="G273" s="25"/>
      <c r="H273" s="23"/>
    </row>
    <row r="274" spans="1:8" ht="12.75">
      <c r="A274" s="24"/>
      <c r="B274" s="21" t="s">
        <v>47</v>
      </c>
      <c r="C274" s="22" t="s">
        <v>39</v>
      </c>
      <c r="D274" s="23">
        <f>D263</f>
        <v>2135</v>
      </c>
      <c r="E274" s="24">
        <v>1</v>
      </c>
      <c r="F274" s="29">
        <v>1</v>
      </c>
      <c r="G274" s="25">
        <v>0.037</v>
      </c>
      <c r="H274" s="23">
        <f aca="true" t="shared" si="11" ref="H274:H281">PRODUCT(D274:G274)</f>
        <v>78.99499999999999</v>
      </c>
    </row>
    <row r="275" spans="1:8" ht="12.75">
      <c r="A275" s="24"/>
      <c r="B275" s="21" t="s">
        <v>97</v>
      </c>
      <c r="C275" s="22" t="s">
        <v>15</v>
      </c>
      <c r="D275" s="23">
        <f>'Lista de recursos'!F27</f>
        <v>37.8</v>
      </c>
      <c r="E275" s="24">
        <v>1</v>
      </c>
      <c r="F275" s="29">
        <v>1.05</v>
      </c>
      <c r="G275" s="25">
        <v>12.5</v>
      </c>
      <c r="H275" s="23">
        <f>PRODUCT(D275:G275)</f>
        <v>496.125</v>
      </c>
    </row>
    <row r="276" spans="1:8" ht="12.75">
      <c r="A276" s="24"/>
      <c r="B276" s="21" t="s">
        <v>68</v>
      </c>
      <c r="C276" s="22" t="s">
        <v>7</v>
      </c>
      <c r="D276" s="23">
        <f>D266</f>
        <v>3159.8192999999997</v>
      </c>
      <c r="E276" s="24">
        <v>1</v>
      </c>
      <c r="F276" s="29">
        <v>1</v>
      </c>
      <c r="G276" s="25">
        <v>0.03481</v>
      </c>
      <c r="H276" s="23">
        <f>PRODUCT(D276:G276)</f>
        <v>109.99330983299998</v>
      </c>
    </row>
    <row r="277" spans="1:8" ht="12.75">
      <c r="A277" s="24"/>
      <c r="B277" s="21" t="s">
        <v>78</v>
      </c>
      <c r="C277" s="22" t="s">
        <v>7</v>
      </c>
      <c r="D277" s="23">
        <f>D267</f>
        <v>4298.810191199999</v>
      </c>
      <c r="E277" s="24">
        <v>1</v>
      </c>
      <c r="F277" s="29">
        <v>1</v>
      </c>
      <c r="G277" s="25">
        <v>0.037</v>
      </c>
      <c r="H277" s="23">
        <f>PRODUCT(D277:G277)</f>
        <v>159.05597707439998</v>
      </c>
    </row>
    <row r="278" spans="1:8" ht="12.75">
      <c r="A278" s="24"/>
      <c r="B278" s="21" t="s">
        <v>96</v>
      </c>
      <c r="C278" s="22" t="s">
        <v>15</v>
      </c>
      <c r="D278" s="23">
        <f>'Lista de recursos'!F153</f>
        <v>16.39</v>
      </c>
      <c r="E278" s="24">
        <v>1</v>
      </c>
      <c r="F278" s="29">
        <v>1</v>
      </c>
      <c r="G278" s="25">
        <v>13</v>
      </c>
      <c r="H278" s="23">
        <f t="shared" si="11"/>
        <v>213.07</v>
      </c>
    </row>
    <row r="279" spans="1:8" ht="12.75">
      <c r="A279" s="24"/>
      <c r="B279" s="21" t="s">
        <v>94</v>
      </c>
      <c r="C279" s="22" t="s">
        <v>13</v>
      </c>
      <c r="D279" s="23">
        <f>D269</f>
        <v>10.924999999999999</v>
      </c>
      <c r="E279" s="24">
        <v>1</v>
      </c>
      <c r="F279" s="29">
        <v>1</v>
      </c>
      <c r="G279" s="25">
        <v>1</v>
      </c>
      <c r="H279" s="23">
        <f t="shared" si="11"/>
        <v>10.924999999999999</v>
      </c>
    </row>
    <row r="280" spans="1:8" ht="12.75">
      <c r="A280" s="24"/>
      <c r="B280" s="21" t="s">
        <v>496</v>
      </c>
      <c r="C280" s="22" t="s">
        <v>15</v>
      </c>
      <c r="D280" s="23">
        <f>D270</f>
        <v>1.33</v>
      </c>
      <c r="E280" s="24">
        <v>1</v>
      </c>
      <c r="F280" s="29">
        <v>1</v>
      </c>
      <c r="G280" s="25">
        <v>13</v>
      </c>
      <c r="H280" s="23">
        <f t="shared" si="11"/>
        <v>17.29</v>
      </c>
    </row>
    <row r="281" spans="1:8" ht="12.75">
      <c r="A281" s="24"/>
      <c r="B281" s="21" t="s">
        <v>497</v>
      </c>
      <c r="C281" s="22" t="s">
        <v>15</v>
      </c>
      <c r="D281" s="23">
        <f>D271</f>
        <v>0.65</v>
      </c>
      <c r="E281" s="24">
        <v>1</v>
      </c>
      <c r="F281" s="29">
        <v>1</v>
      </c>
      <c r="G281" s="25">
        <v>13</v>
      </c>
      <c r="H281" s="23">
        <f t="shared" si="11"/>
        <v>8.450000000000001</v>
      </c>
    </row>
    <row r="282" spans="1:8" ht="12.75">
      <c r="A282" s="24"/>
      <c r="B282" s="21"/>
      <c r="C282" s="22"/>
      <c r="D282" s="23"/>
      <c r="E282" s="24"/>
      <c r="F282" s="29"/>
      <c r="G282" s="25"/>
      <c r="H282" s="23">
        <f>SUM(H274:H281)</f>
        <v>1093.9042869073999</v>
      </c>
    </row>
    <row r="283" spans="1:8" ht="12.75">
      <c r="A283" s="19"/>
      <c r="B283" s="175" t="s">
        <v>405</v>
      </c>
      <c r="C283" s="22"/>
      <c r="D283" s="23"/>
      <c r="E283" s="24"/>
      <c r="F283" s="29"/>
      <c r="G283" s="25"/>
      <c r="H283" s="23"/>
    </row>
    <row r="284" spans="1:8" ht="12.75">
      <c r="A284" s="24"/>
      <c r="B284" s="21" t="s">
        <v>405</v>
      </c>
      <c r="C284" s="22" t="s">
        <v>8</v>
      </c>
      <c r="D284" s="23">
        <f>'Lista de recursos'!F155</f>
        <v>28.24</v>
      </c>
      <c r="E284" s="24">
        <v>1</v>
      </c>
      <c r="F284" s="29">
        <v>1</v>
      </c>
      <c r="G284" s="25">
        <v>1</v>
      </c>
      <c r="H284" s="23">
        <f>PRODUCT(D284:G284)</f>
        <v>28.24</v>
      </c>
    </row>
    <row r="285" spans="1:8" ht="12.75">
      <c r="A285" s="24"/>
      <c r="B285" s="21" t="s">
        <v>83</v>
      </c>
      <c r="C285" s="22" t="s">
        <v>7</v>
      </c>
      <c r="D285" s="23">
        <f>H232</f>
        <v>5095.312939318645</v>
      </c>
      <c r="E285" s="24">
        <v>1</v>
      </c>
      <c r="F285" s="29">
        <v>1.3</v>
      </c>
      <c r="G285" s="25">
        <v>0.010269</v>
      </c>
      <c r="H285" s="23">
        <f>PRODUCT(D285:G285)</f>
        <v>68.02089914602212</v>
      </c>
    </row>
    <row r="286" spans="1:8" ht="12.75">
      <c r="A286" s="24"/>
      <c r="B286" s="21"/>
      <c r="C286" s="22"/>
      <c r="D286" s="23"/>
      <c r="E286" s="24"/>
      <c r="F286" s="29"/>
      <c r="G286" s="25"/>
      <c r="H286" s="23">
        <f>SUM(H284:H285)</f>
        <v>96.26089914602211</v>
      </c>
    </row>
    <row r="287" spans="1:8" ht="12.75">
      <c r="A287" s="19"/>
      <c r="B287" s="175" t="s">
        <v>9</v>
      </c>
      <c r="C287" s="22"/>
      <c r="D287" s="23"/>
      <c r="E287" s="24"/>
      <c r="F287" s="29"/>
      <c r="G287" s="25"/>
      <c r="H287" s="23"/>
    </row>
    <row r="288" spans="1:8" ht="12.75">
      <c r="A288" s="24"/>
      <c r="B288" s="21" t="s">
        <v>94</v>
      </c>
      <c r="C288" s="22" t="s">
        <v>13</v>
      </c>
      <c r="D288" s="23">
        <f>D279</f>
        <v>10.924999999999999</v>
      </c>
      <c r="E288" s="24">
        <v>1</v>
      </c>
      <c r="F288" s="29">
        <v>1</v>
      </c>
      <c r="G288" s="25">
        <v>1</v>
      </c>
      <c r="H288" s="23">
        <f>PRODUCT(D288:G288)</f>
        <v>10.924999999999999</v>
      </c>
    </row>
    <row r="289" spans="1:8" ht="12.75">
      <c r="A289" s="24"/>
      <c r="B289" s="21" t="s">
        <v>9</v>
      </c>
      <c r="C289" s="22" t="s">
        <v>8</v>
      </c>
      <c r="D289" s="23">
        <f>'Lista de recursos'!F157</f>
        <v>118.79</v>
      </c>
      <c r="E289" s="24">
        <v>1</v>
      </c>
      <c r="F289" s="29">
        <v>1</v>
      </c>
      <c r="G289" s="25">
        <v>1</v>
      </c>
      <c r="H289" s="23">
        <f>PRODUCT(D289:G289)</f>
        <v>118.79</v>
      </c>
    </row>
    <row r="290" spans="1:8" ht="12.75">
      <c r="A290" s="24"/>
      <c r="B290" s="21" t="s">
        <v>101</v>
      </c>
      <c r="C290" s="22" t="s">
        <v>92</v>
      </c>
      <c r="D290" s="23">
        <f>'Lista de recursos'!F58</f>
        <v>60</v>
      </c>
      <c r="E290" s="24">
        <v>1</v>
      </c>
      <c r="F290" s="29">
        <v>1</v>
      </c>
      <c r="G290" s="25">
        <v>0.176</v>
      </c>
      <c r="H290" s="23">
        <f>PRODUCT(D290:G290)</f>
        <v>10.559999999999999</v>
      </c>
    </row>
    <row r="291" spans="1:8" ht="12.75">
      <c r="A291" s="24"/>
      <c r="B291" s="21" t="s">
        <v>83</v>
      </c>
      <c r="C291" s="22" t="s">
        <v>7</v>
      </c>
      <c r="D291" s="23">
        <f>D285</f>
        <v>5095.312939318645</v>
      </c>
      <c r="E291" s="24">
        <v>1</v>
      </c>
      <c r="F291" s="29">
        <v>1</v>
      </c>
      <c r="G291" s="25">
        <v>0.0208999</v>
      </c>
      <c r="H291" s="23">
        <f>PRODUCT(D291:G291)</f>
        <v>106.49153090046573</v>
      </c>
    </row>
    <row r="292" spans="1:8" ht="12.75">
      <c r="A292" s="24"/>
      <c r="B292" s="21"/>
      <c r="C292" s="22"/>
      <c r="D292" s="23"/>
      <c r="E292" s="24"/>
      <c r="F292" s="29"/>
      <c r="G292" s="25"/>
      <c r="H292" s="23">
        <f>SUM(H288:H291)</f>
        <v>246.76653090046574</v>
      </c>
    </row>
    <row r="293" spans="1:8" ht="12.75">
      <c r="A293" s="19"/>
      <c r="B293" s="175" t="s">
        <v>10</v>
      </c>
      <c r="C293" s="22"/>
      <c r="D293" s="23"/>
      <c r="E293" s="24"/>
      <c r="F293" s="29"/>
      <c r="G293" s="25"/>
      <c r="H293" s="23"/>
    </row>
    <row r="294" spans="1:8" ht="12.75">
      <c r="A294" s="24"/>
      <c r="B294" s="21" t="s">
        <v>94</v>
      </c>
      <c r="C294" s="22" t="s">
        <v>13</v>
      </c>
      <c r="D294" s="23">
        <f>D288</f>
        <v>10.924999999999999</v>
      </c>
      <c r="E294" s="24">
        <v>1</v>
      </c>
      <c r="F294" s="29">
        <v>1</v>
      </c>
      <c r="G294" s="25">
        <v>1</v>
      </c>
      <c r="H294" s="23">
        <f>PRODUCT(D294:G294)</f>
        <v>10.924999999999999</v>
      </c>
    </row>
    <row r="295" spans="1:12" ht="12.75">
      <c r="A295" s="24"/>
      <c r="B295" s="21" t="s">
        <v>104</v>
      </c>
      <c r="C295" s="22" t="s">
        <v>8</v>
      </c>
      <c r="D295" s="23">
        <f>'Lista de recursos'!F158</f>
        <v>154</v>
      </c>
      <c r="E295" s="24">
        <v>1</v>
      </c>
      <c r="F295" s="29">
        <v>1</v>
      </c>
      <c r="G295" s="25">
        <v>1</v>
      </c>
      <c r="H295" s="23">
        <f>PRODUCT(D295:G295)</f>
        <v>154</v>
      </c>
      <c r="J295"/>
      <c r="L295"/>
    </row>
    <row r="296" spans="1:12" ht="12.75">
      <c r="A296" s="24"/>
      <c r="B296" s="21" t="s">
        <v>101</v>
      </c>
      <c r="C296" s="22" t="s">
        <v>92</v>
      </c>
      <c r="D296" s="23">
        <f>D290</f>
        <v>60</v>
      </c>
      <c r="E296" s="24">
        <v>1</v>
      </c>
      <c r="F296" s="29">
        <v>1</v>
      </c>
      <c r="G296" s="25">
        <v>0.0333</v>
      </c>
      <c r="H296" s="23">
        <f>PRODUCT(D296:G296)</f>
        <v>1.9980000000000002</v>
      </c>
      <c r="J296"/>
      <c r="L296"/>
    </row>
    <row r="297" spans="1:12" ht="12.75">
      <c r="A297" s="24"/>
      <c r="B297" s="21" t="s">
        <v>83</v>
      </c>
      <c r="C297" s="22" t="s">
        <v>7</v>
      </c>
      <c r="D297" s="23">
        <f>D291</f>
        <v>5095.312939318645</v>
      </c>
      <c r="E297" s="24">
        <v>1</v>
      </c>
      <c r="F297" s="29">
        <v>1</v>
      </c>
      <c r="G297" s="25">
        <v>0.025</v>
      </c>
      <c r="H297" s="23">
        <f>PRODUCT(D297:G297)</f>
        <v>127.38282348296612</v>
      </c>
      <c r="J297"/>
      <c r="L297"/>
    </row>
    <row r="298" spans="1:12" ht="12.75">
      <c r="A298" s="24"/>
      <c r="B298" s="21"/>
      <c r="C298" s="22"/>
      <c r="D298" s="23"/>
      <c r="E298" s="24"/>
      <c r="F298" s="29"/>
      <c r="G298" s="25"/>
      <c r="H298" s="23">
        <f>SUM(H294:H297)</f>
        <v>294.3058234829661</v>
      </c>
      <c r="J298"/>
      <c r="L298"/>
    </row>
    <row r="299" spans="1:12" ht="12.75">
      <c r="A299" s="19"/>
      <c r="B299" s="175" t="s">
        <v>105</v>
      </c>
      <c r="C299" s="22"/>
      <c r="D299" s="23"/>
      <c r="E299" s="24"/>
      <c r="F299" s="29"/>
      <c r="G299" s="25"/>
      <c r="H299" s="23"/>
      <c r="J299"/>
      <c r="L299"/>
    </row>
    <row r="300" spans="1:12" ht="12.75">
      <c r="A300" s="24"/>
      <c r="B300" s="21" t="s">
        <v>106</v>
      </c>
      <c r="C300" s="22" t="s">
        <v>8</v>
      </c>
      <c r="D300" s="23">
        <f>'Lista de recursos'!F159</f>
        <v>129.73</v>
      </c>
      <c r="E300" s="24">
        <v>1</v>
      </c>
      <c r="F300" s="29">
        <v>1</v>
      </c>
      <c r="G300" s="25">
        <v>1</v>
      </c>
      <c r="H300" s="23">
        <f>PRODUCT(D300:G300)</f>
        <v>129.73</v>
      </c>
      <c r="J300"/>
      <c r="L300"/>
    </row>
    <row r="301" spans="1:12" ht="12.75">
      <c r="A301" s="24"/>
      <c r="B301" s="21" t="s">
        <v>101</v>
      </c>
      <c r="C301" s="22" t="s">
        <v>92</v>
      </c>
      <c r="D301" s="23">
        <f>D296</f>
        <v>60</v>
      </c>
      <c r="E301" s="24">
        <v>1</v>
      </c>
      <c r="F301" s="29">
        <v>1</v>
      </c>
      <c r="G301" s="25">
        <v>0.0333</v>
      </c>
      <c r="H301" s="23">
        <f>PRODUCT(D301:G301)</f>
        <v>1.9980000000000002</v>
      </c>
      <c r="J301"/>
      <c r="L301"/>
    </row>
    <row r="302" spans="1:12" ht="12.75">
      <c r="A302" s="24"/>
      <c r="B302" s="21" t="s">
        <v>83</v>
      </c>
      <c r="C302" s="22" t="s">
        <v>7</v>
      </c>
      <c r="D302" s="23">
        <f>D297</f>
        <v>5095.312939318645</v>
      </c>
      <c r="E302" s="24">
        <v>1</v>
      </c>
      <c r="F302" s="29">
        <v>1</v>
      </c>
      <c r="G302" s="25">
        <v>0.025</v>
      </c>
      <c r="H302" s="23">
        <f>PRODUCT(D302:G302)</f>
        <v>127.38282348296612</v>
      </c>
      <c r="J302"/>
      <c r="L302"/>
    </row>
    <row r="303" spans="1:12" ht="12.75">
      <c r="A303" s="24"/>
      <c r="B303" s="21"/>
      <c r="C303" s="22"/>
      <c r="D303" s="23"/>
      <c r="E303" s="24"/>
      <c r="F303" s="29"/>
      <c r="G303" s="25"/>
      <c r="H303" s="23">
        <f>SUM(H300:H302)</f>
        <v>259.1108234829661</v>
      </c>
      <c r="J303"/>
      <c r="L303"/>
    </row>
    <row r="304" spans="1:12" ht="12.75">
      <c r="A304" s="19"/>
      <c r="B304" s="175" t="s">
        <v>11</v>
      </c>
      <c r="C304" s="22"/>
      <c r="D304" s="23"/>
      <c r="E304" s="24"/>
      <c r="F304" s="29"/>
      <c r="G304" s="25"/>
      <c r="H304" s="23"/>
      <c r="J304"/>
      <c r="L304"/>
    </row>
    <row r="305" spans="1:12" ht="25.5">
      <c r="A305" s="24"/>
      <c r="B305" s="21" t="s">
        <v>107</v>
      </c>
      <c r="C305" s="22" t="s">
        <v>12</v>
      </c>
      <c r="D305" s="23">
        <f>'Lista de recursos'!F161</f>
        <v>51.74</v>
      </c>
      <c r="E305" s="24">
        <v>1</v>
      </c>
      <c r="F305" s="29">
        <v>1</v>
      </c>
      <c r="G305" s="25">
        <v>1</v>
      </c>
      <c r="H305" s="23">
        <f>PRODUCT(D305:G305)</f>
        <v>51.74</v>
      </c>
      <c r="J305"/>
      <c r="L305"/>
    </row>
    <row r="306" spans="1:12" ht="12.75">
      <c r="A306" s="24"/>
      <c r="B306" s="21" t="s">
        <v>101</v>
      </c>
      <c r="C306" s="22" t="s">
        <v>92</v>
      </c>
      <c r="D306" s="23">
        <f>D301</f>
        <v>60</v>
      </c>
      <c r="E306" s="24">
        <v>1</v>
      </c>
      <c r="F306" s="29">
        <v>1</v>
      </c>
      <c r="G306" s="25">
        <v>0.2246</v>
      </c>
      <c r="H306" s="23">
        <f>PRODUCT(D306:G306)</f>
        <v>13.475999999999999</v>
      </c>
      <c r="J306"/>
      <c r="L306"/>
    </row>
    <row r="307" spans="1:12" ht="12.75">
      <c r="A307" s="24"/>
      <c r="B307" s="21" t="s">
        <v>83</v>
      </c>
      <c r="C307" s="22" t="s">
        <v>7</v>
      </c>
      <c r="D307" s="23">
        <f>D302</f>
        <v>5095.312939318645</v>
      </c>
      <c r="E307" s="24">
        <v>1</v>
      </c>
      <c r="F307" s="29">
        <v>1</v>
      </c>
      <c r="G307" s="25">
        <v>0.008</v>
      </c>
      <c r="H307" s="23">
        <f>PRODUCT(D307:G307)</f>
        <v>40.76250351454916</v>
      </c>
      <c r="J307"/>
      <c r="L307"/>
    </row>
    <row r="308" spans="1:12" ht="12.75">
      <c r="A308" s="24"/>
      <c r="B308" s="21"/>
      <c r="C308" s="22"/>
      <c r="D308" s="23"/>
      <c r="E308" s="24"/>
      <c r="F308" s="29"/>
      <c r="G308" s="25"/>
      <c r="H308" s="23">
        <f>SUM(H305:H307)</f>
        <v>105.97850351454917</v>
      </c>
      <c r="J308"/>
      <c r="L308"/>
    </row>
    <row r="309" spans="1:12" ht="12.75">
      <c r="A309" s="19"/>
      <c r="B309" s="175" t="s">
        <v>261</v>
      </c>
      <c r="C309" s="22"/>
      <c r="D309" s="23"/>
      <c r="E309" s="24"/>
      <c r="F309" s="29"/>
      <c r="G309" s="25"/>
      <c r="H309" s="23"/>
      <c r="J309"/>
      <c r="L309"/>
    </row>
    <row r="310" spans="1:12" ht="12.75">
      <c r="A310" s="24"/>
      <c r="B310" s="21" t="s">
        <v>110</v>
      </c>
      <c r="C310" s="22" t="s">
        <v>13</v>
      </c>
      <c r="D310" s="23">
        <f>'Lista de recursos'!F172</f>
        <v>391.07</v>
      </c>
      <c r="E310" s="24">
        <v>1</v>
      </c>
      <c r="F310" s="29">
        <v>1</v>
      </c>
      <c r="G310" s="25">
        <v>1</v>
      </c>
      <c r="H310" s="23">
        <f aca="true" t="shared" si="12" ref="H310:H316">PRODUCT(D310:G310)</f>
        <v>391.07</v>
      </c>
      <c r="J310"/>
      <c r="L310"/>
    </row>
    <row r="311" spans="1:12" ht="25.5">
      <c r="A311" s="24"/>
      <c r="B311" s="21" t="s">
        <v>111</v>
      </c>
      <c r="C311" s="22" t="s">
        <v>8</v>
      </c>
      <c r="D311" s="23">
        <f>'Lista de recursos'!F174</f>
        <v>23.354889999999997</v>
      </c>
      <c r="E311" s="24">
        <v>1</v>
      </c>
      <c r="F311" s="29">
        <v>1</v>
      </c>
      <c r="G311" s="25">
        <v>1</v>
      </c>
      <c r="H311" s="23">
        <f t="shared" si="12"/>
        <v>23.354889999999997</v>
      </c>
      <c r="J311"/>
      <c r="L311"/>
    </row>
    <row r="312" spans="1:12" ht="12.75">
      <c r="A312" s="24"/>
      <c r="B312" s="21" t="s">
        <v>112</v>
      </c>
      <c r="C312" s="22" t="s">
        <v>15</v>
      </c>
      <c r="D312" s="23">
        <f>'Lista de recursos'!F213</f>
        <v>4.962825</v>
      </c>
      <c r="E312" s="24">
        <v>1</v>
      </c>
      <c r="F312" s="29">
        <v>1</v>
      </c>
      <c r="G312" s="25">
        <v>5</v>
      </c>
      <c r="H312" s="23">
        <f>PRODUCT(D312:G312)</f>
        <v>24.814124999999997</v>
      </c>
      <c r="J312"/>
      <c r="L312"/>
    </row>
    <row r="313" spans="1:12" ht="12.75">
      <c r="A313" s="24"/>
      <c r="B313" s="21" t="s">
        <v>68</v>
      </c>
      <c r="C313" s="22" t="s">
        <v>7</v>
      </c>
      <c r="D313" s="23">
        <f>H209</f>
        <v>3159.8192999999997</v>
      </c>
      <c r="E313" s="24">
        <v>1</v>
      </c>
      <c r="F313" s="29">
        <v>1</v>
      </c>
      <c r="G313" s="25">
        <v>0.09559</v>
      </c>
      <c r="H313" s="23">
        <f t="shared" si="12"/>
        <v>302.04712688699993</v>
      </c>
      <c r="J313"/>
      <c r="L313"/>
    </row>
    <row r="314" spans="1:12" ht="12.75">
      <c r="A314" s="24"/>
      <c r="B314" s="21" t="s">
        <v>260</v>
      </c>
      <c r="C314" s="22" t="s">
        <v>7</v>
      </c>
      <c r="D314" s="23">
        <f>H250</f>
        <v>4089.9636470571318</v>
      </c>
      <c r="E314" s="24">
        <v>1</v>
      </c>
      <c r="F314" s="29">
        <v>1</v>
      </c>
      <c r="G314" s="25">
        <v>0.014999</v>
      </c>
      <c r="H314" s="23">
        <f t="shared" si="12"/>
        <v>61.34536474220992</v>
      </c>
      <c r="J314"/>
      <c r="L314"/>
    </row>
    <row r="315" spans="1:12" ht="12.75">
      <c r="A315" s="24"/>
      <c r="B315" s="21" t="s">
        <v>262</v>
      </c>
      <c r="C315" s="22" t="s">
        <v>8</v>
      </c>
      <c r="D315" s="23">
        <f>'Lista de recursos'!F83</f>
        <v>579.025</v>
      </c>
      <c r="E315" s="24">
        <v>1</v>
      </c>
      <c r="F315" s="29">
        <v>1.05</v>
      </c>
      <c r="G315" s="25">
        <v>1</v>
      </c>
      <c r="H315" s="23">
        <f t="shared" si="12"/>
        <v>607.97625</v>
      </c>
      <c r="J315"/>
      <c r="L315"/>
    </row>
    <row r="316" spans="1:8" ht="12.75">
      <c r="A316" s="24"/>
      <c r="B316" s="21" t="s">
        <v>113</v>
      </c>
      <c r="C316" s="22" t="s">
        <v>65</v>
      </c>
      <c r="D316" s="23">
        <f>'Lista de recursos'!F85</f>
        <v>661.25</v>
      </c>
      <c r="E316" s="24">
        <v>1</v>
      </c>
      <c r="F316" s="29">
        <v>1</v>
      </c>
      <c r="G316" s="25">
        <v>0.033099</v>
      </c>
      <c r="H316" s="23">
        <f t="shared" si="12"/>
        <v>21.886713750000002</v>
      </c>
    </row>
    <row r="317" spans="1:8" ht="12.75">
      <c r="A317" s="24"/>
      <c r="B317" s="21"/>
      <c r="C317" s="22"/>
      <c r="D317" s="23"/>
      <c r="E317" s="24"/>
      <c r="F317" s="29"/>
      <c r="G317" s="25"/>
      <c r="H317" s="23">
        <f>SUM(H310:H316)</f>
        <v>1432.4944703792098</v>
      </c>
    </row>
    <row r="318" spans="1:8" ht="12.75">
      <c r="A318" s="19"/>
      <c r="B318" s="175" t="s">
        <v>263</v>
      </c>
      <c r="C318" s="22"/>
      <c r="D318" s="23"/>
      <c r="E318" s="24"/>
      <c r="F318" s="29"/>
      <c r="G318" s="25"/>
      <c r="H318" s="23"/>
    </row>
    <row r="319" spans="1:8" ht="12.75">
      <c r="A319" s="24"/>
      <c r="B319" s="21" t="s">
        <v>114</v>
      </c>
      <c r="C319" s="22" t="s">
        <v>12</v>
      </c>
      <c r="D319" s="23">
        <f>'Lista de recursos'!F168</f>
        <v>81.77</v>
      </c>
      <c r="E319" s="24">
        <v>1</v>
      </c>
      <c r="F319" s="29">
        <v>1</v>
      </c>
      <c r="G319" s="25">
        <v>1</v>
      </c>
      <c r="H319" s="23">
        <f>PRODUCT(D319:G319)</f>
        <v>81.77</v>
      </c>
    </row>
    <row r="320" spans="1:8" ht="12.75">
      <c r="A320" s="24"/>
      <c r="B320" s="21" t="s">
        <v>115</v>
      </c>
      <c r="C320" s="22" t="s">
        <v>15</v>
      </c>
      <c r="D320" s="23">
        <v>1.3</v>
      </c>
      <c r="E320" s="24">
        <v>1</v>
      </c>
      <c r="F320" s="29">
        <v>1</v>
      </c>
      <c r="G320" s="25">
        <v>1</v>
      </c>
      <c r="H320" s="23">
        <f>PRODUCT(D320:G320)</f>
        <v>1.3</v>
      </c>
    </row>
    <row r="321" spans="1:12" ht="12.75">
      <c r="A321" s="24"/>
      <c r="B321" s="21" t="s">
        <v>86</v>
      </c>
      <c r="C321" s="22" t="s">
        <v>7</v>
      </c>
      <c r="D321" s="23">
        <f>H250</f>
        <v>4089.9636470571318</v>
      </c>
      <c r="E321" s="24">
        <v>1</v>
      </c>
      <c r="F321" s="29">
        <v>1</v>
      </c>
      <c r="G321" s="25">
        <v>0.002</v>
      </c>
      <c r="H321" s="23">
        <f>PRODUCT(D321:G321)</f>
        <v>8.179927294114263</v>
      </c>
      <c r="J321"/>
      <c r="L321"/>
    </row>
    <row r="322" spans="1:12" ht="12.75">
      <c r="A322" s="24"/>
      <c r="B322" s="21" t="s">
        <v>263</v>
      </c>
      <c r="C322" s="22" t="s">
        <v>12</v>
      </c>
      <c r="D322" s="23">
        <f>'Lista de recursos'!F84</f>
        <v>113.9075</v>
      </c>
      <c r="E322" s="24">
        <v>1</v>
      </c>
      <c r="F322" s="29">
        <v>1.05</v>
      </c>
      <c r="G322" s="25">
        <v>1</v>
      </c>
      <c r="H322" s="23">
        <f>PRODUCT(D322:G322)</f>
        <v>119.602875</v>
      </c>
      <c r="J322"/>
      <c r="L322"/>
    </row>
    <row r="323" spans="1:12" ht="12.75">
      <c r="A323" s="24"/>
      <c r="B323" s="21" t="s">
        <v>113</v>
      </c>
      <c r="C323" s="22" t="s">
        <v>65</v>
      </c>
      <c r="D323" s="23">
        <f>D316</f>
        <v>661.25</v>
      </c>
      <c r="E323" s="24">
        <v>1</v>
      </c>
      <c r="F323" s="29">
        <v>1.05</v>
      </c>
      <c r="G323" s="25">
        <v>0.00112</v>
      </c>
      <c r="H323" s="23">
        <f>PRODUCT(D323:G323)</f>
        <v>0.7776299999999999</v>
      </c>
      <c r="J323"/>
      <c r="L323"/>
    </row>
    <row r="324" spans="1:12" ht="12.75">
      <c r="A324" s="24"/>
      <c r="B324" s="21"/>
      <c r="C324" s="22"/>
      <c r="D324" s="23"/>
      <c r="E324" s="24"/>
      <c r="F324" s="29"/>
      <c r="G324" s="25"/>
      <c r="H324" s="23">
        <f>SUM(H319:H323)</f>
        <v>211.63043229411426</v>
      </c>
      <c r="J324" s="143"/>
      <c r="L324"/>
    </row>
    <row r="325" spans="1:12" ht="12.75">
      <c r="A325" s="19"/>
      <c r="B325" s="175" t="s">
        <v>408</v>
      </c>
      <c r="C325" s="22"/>
      <c r="D325" s="23"/>
      <c r="E325" s="24"/>
      <c r="F325" s="29"/>
      <c r="G325" s="25"/>
      <c r="H325" s="23"/>
      <c r="J325"/>
      <c r="L325"/>
    </row>
    <row r="326" spans="1:12" ht="12.75">
      <c r="A326" s="19"/>
      <c r="B326" s="21" t="s">
        <v>498</v>
      </c>
      <c r="C326" s="22" t="s">
        <v>13</v>
      </c>
      <c r="D326" s="23">
        <f>D310</f>
        <v>391.07</v>
      </c>
      <c r="E326" s="24">
        <v>1</v>
      </c>
      <c r="F326" s="29">
        <v>1</v>
      </c>
      <c r="G326" s="25">
        <v>1</v>
      </c>
      <c r="H326" s="23">
        <f aca="true" t="shared" si="13" ref="H326:H332">PRODUCT(D326:G326)</f>
        <v>391.07</v>
      </c>
      <c r="J326"/>
      <c r="L326"/>
    </row>
    <row r="327" spans="1:12" ht="25.5">
      <c r="A327" s="19"/>
      <c r="B327" s="21" t="s">
        <v>111</v>
      </c>
      <c r="C327" s="22" t="s">
        <v>8</v>
      </c>
      <c r="D327" s="23">
        <f aca="true" t="shared" si="14" ref="D327:D332">D311</f>
        <v>23.354889999999997</v>
      </c>
      <c r="E327" s="24">
        <v>1</v>
      </c>
      <c r="F327" s="29">
        <v>1</v>
      </c>
      <c r="G327" s="25">
        <v>1</v>
      </c>
      <c r="H327" s="23">
        <f t="shared" si="13"/>
        <v>23.354889999999997</v>
      </c>
      <c r="J327"/>
      <c r="L327"/>
    </row>
    <row r="328" spans="1:12" ht="12.75">
      <c r="A328" s="19"/>
      <c r="B328" s="21" t="s">
        <v>112</v>
      </c>
      <c r="C328" s="22" t="s">
        <v>15</v>
      </c>
      <c r="D328" s="23">
        <f t="shared" si="14"/>
        <v>4.962825</v>
      </c>
      <c r="E328" s="24">
        <v>1</v>
      </c>
      <c r="F328" s="29">
        <v>1</v>
      </c>
      <c r="G328" s="25">
        <v>5</v>
      </c>
      <c r="H328" s="23">
        <f t="shared" si="13"/>
        <v>24.814124999999997</v>
      </c>
      <c r="J328"/>
      <c r="L328"/>
    </row>
    <row r="329" spans="1:12" ht="12.75">
      <c r="A329" s="19"/>
      <c r="B329" s="21" t="s">
        <v>68</v>
      </c>
      <c r="C329" s="22" t="s">
        <v>7</v>
      </c>
      <c r="D329" s="23">
        <f t="shared" si="14"/>
        <v>3159.8192999999997</v>
      </c>
      <c r="E329" s="24">
        <v>1</v>
      </c>
      <c r="F329" s="29">
        <v>1</v>
      </c>
      <c r="G329" s="25">
        <v>0.09559</v>
      </c>
      <c r="H329" s="23">
        <f t="shared" si="13"/>
        <v>302.04712688699993</v>
      </c>
      <c r="J329"/>
      <c r="L329"/>
    </row>
    <row r="330" spans="1:12" ht="12.75">
      <c r="A330" s="19"/>
      <c r="B330" s="21" t="s">
        <v>260</v>
      </c>
      <c r="C330" s="22" t="s">
        <v>7</v>
      </c>
      <c r="D330" s="23">
        <f t="shared" si="14"/>
        <v>4089.9636470571318</v>
      </c>
      <c r="E330" s="24">
        <v>1</v>
      </c>
      <c r="F330" s="29">
        <v>1</v>
      </c>
      <c r="G330" s="25">
        <v>0.015</v>
      </c>
      <c r="H330" s="23">
        <f t="shared" si="13"/>
        <v>61.34945470585697</v>
      </c>
      <c r="J330"/>
      <c r="L330"/>
    </row>
    <row r="331" spans="1:12" ht="12.75">
      <c r="A331" s="19"/>
      <c r="B331" s="21" t="s">
        <v>501</v>
      </c>
      <c r="C331" s="22" t="s">
        <v>8</v>
      </c>
      <c r="D331" s="23">
        <f>'Lista de recursos'!F87</f>
        <v>617.1</v>
      </c>
      <c r="E331" s="24">
        <v>1</v>
      </c>
      <c r="F331" s="29">
        <v>1.05</v>
      </c>
      <c r="G331" s="25">
        <v>1</v>
      </c>
      <c r="H331" s="23">
        <f t="shared" si="13"/>
        <v>647.955</v>
      </c>
      <c r="J331"/>
      <c r="L331"/>
    </row>
    <row r="332" spans="1:12" ht="12.75">
      <c r="A332" s="19"/>
      <c r="B332" s="21" t="s">
        <v>499</v>
      </c>
      <c r="C332" s="22" t="s">
        <v>65</v>
      </c>
      <c r="D332" s="23">
        <f t="shared" si="14"/>
        <v>661.25</v>
      </c>
      <c r="E332" s="24">
        <v>1</v>
      </c>
      <c r="F332" s="29">
        <v>1</v>
      </c>
      <c r="G332" s="25">
        <v>0.03282</v>
      </c>
      <c r="H332" s="23">
        <f t="shared" si="13"/>
        <v>21.702225000000002</v>
      </c>
      <c r="J332"/>
      <c r="L332"/>
    </row>
    <row r="333" spans="1:12" ht="12.75">
      <c r="A333" s="19"/>
      <c r="B333" s="21"/>
      <c r="C333" s="22"/>
      <c r="D333" s="23"/>
      <c r="E333" s="24"/>
      <c r="F333" s="29"/>
      <c r="G333" s="25"/>
      <c r="H333" s="23">
        <f>SUM(H326:H332)</f>
        <v>1472.2928215928569</v>
      </c>
      <c r="J333" s="143"/>
      <c r="L333"/>
    </row>
    <row r="334" spans="1:12" ht="12.75">
      <c r="A334" s="19"/>
      <c r="B334" s="175" t="s">
        <v>409</v>
      </c>
      <c r="C334" s="22"/>
      <c r="D334" s="23"/>
      <c r="E334" s="24"/>
      <c r="F334" s="29"/>
      <c r="G334" s="25"/>
      <c r="H334" s="23"/>
      <c r="J334" s="143"/>
      <c r="L334"/>
    </row>
    <row r="335" spans="1:12" ht="12.75">
      <c r="A335" s="19"/>
      <c r="B335" s="21" t="s">
        <v>114</v>
      </c>
      <c r="C335" s="22" t="s">
        <v>12</v>
      </c>
      <c r="D335" s="23">
        <f>D319</f>
        <v>81.77</v>
      </c>
      <c r="E335" s="24">
        <v>1</v>
      </c>
      <c r="F335" s="29">
        <v>1</v>
      </c>
      <c r="G335" s="25">
        <v>1</v>
      </c>
      <c r="H335" s="23">
        <f>PRODUCT(D335:G335)</f>
        <v>81.77</v>
      </c>
      <c r="J335"/>
      <c r="L335"/>
    </row>
    <row r="336" spans="1:12" ht="12.75">
      <c r="A336" s="19"/>
      <c r="B336" s="21" t="s">
        <v>115</v>
      </c>
      <c r="C336" s="22" t="s">
        <v>15</v>
      </c>
      <c r="D336" s="23">
        <f>D320</f>
        <v>1.3</v>
      </c>
      <c r="E336" s="24">
        <v>1</v>
      </c>
      <c r="F336" s="29">
        <v>1</v>
      </c>
      <c r="G336" s="25">
        <v>1</v>
      </c>
      <c r="H336" s="23">
        <f>PRODUCT(D336:G336)</f>
        <v>1.3</v>
      </c>
      <c r="J336"/>
      <c r="L336"/>
    </row>
    <row r="337" spans="1:15" ht="12.75">
      <c r="A337" s="19"/>
      <c r="B337" s="21" t="s">
        <v>503</v>
      </c>
      <c r="C337" s="22" t="s">
        <v>67</v>
      </c>
      <c r="D337" s="23">
        <v>861.5</v>
      </c>
      <c r="E337" s="24">
        <v>1</v>
      </c>
      <c r="F337" s="29">
        <v>0.09745</v>
      </c>
      <c r="G337" s="25">
        <v>1</v>
      </c>
      <c r="H337" s="23">
        <f>PRODUCT(D337:G337)</f>
        <v>83.953175</v>
      </c>
      <c r="J337" s="66"/>
      <c r="K337" s="67"/>
      <c r="L337" s="67"/>
      <c r="M337" s="67"/>
      <c r="N337" s="67"/>
      <c r="O337" s="67"/>
    </row>
    <row r="338" spans="1:15" ht="12.75">
      <c r="A338" s="24"/>
      <c r="B338" s="21" t="s">
        <v>502</v>
      </c>
      <c r="C338" s="22" t="s">
        <v>12</v>
      </c>
      <c r="D338" s="23">
        <f>D322</f>
        <v>113.9075</v>
      </c>
      <c r="E338" s="24">
        <v>1</v>
      </c>
      <c r="F338" s="29">
        <v>1.05</v>
      </c>
      <c r="G338" s="25">
        <v>1</v>
      </c>
      <c r="H338" s="23">
        <f>PRODUCT(D338:G338)</f>
        <v>119.602875</v>
      </c>
      <c r="J338" s="68"/>
      <c r="K338" s="69"/>
      <c r="L338" s="70"/>
      <c r="M338" s="19"/>
      <c r="N338" s="71"/>
      <c r="O338" s="72"/>
    </row>
    <row r="339" spans="1:15" ht="12.75">
      <c r="A339" s="24"/>
      <c r="B339" s="21" t="s">
        <v>113</v>
      </c>
      <c r="C339" s="22" t="s">
        <v>65</v>
      </c>
      <c r="D339" s="23">
        <f>D323</f>
        <v>661.25</v>
      </c>
      <c r="E339" s="24">
        <v>1</v>
      </c>
      <c r="F339" s="29">
        <v>1.05</v>
      </c>
      <c r="G339" s="25">
        <v>0.00097</v>
      </c>
      <c r="H339" s="23">
        <f>PRODUCT(D339:G339)</f>
        <v>0.6734831250000001</v>
      </c>
      <c r="J339" s="68"/>
      <c r="K339" s="69"/>
      <c r="L339" s="73"/>
      <c r="M339" s="19"/>
      <c r="N339" s="74"/>
      <c r="O339" s="72"/>
    </row>
    <row r="340" spans="1:15" ht="12.75">
      <c r="A340" s="24"/>
      <c r="B340" s="21"/>
      <c r="C340" s="22"/>
      <c r="D340" s="23"/>
      <c r="E340" s="24"/>
      <c r="F340" s="29"/>
      <c r="G340" s="25"/>
      <c r="H340" s="23">
        <f>SUM(H335:H339)</f>
        <v>287.299533125</v>
      </c>
      <c r="J340" s="68"/>
      <c r="K340" s="74"/>
      <c r="L340" s="73"/>
      <c r="M340" s="19"/>
      <c r="N340" s="74"/>
      <c r="O340" s="72"/>
    </row>
    <row r="341" spans="1:15" ht="12.75">
      <c r="A341" s="24"/>
      <c r="B341" s="172" t="s">
        <v>410</v>
      </c>
      <c r="C341" s="22"/>
      <c r="D341" s="23"/>
      <c r="E341" s="24"/>
      <c r="F341" s="29"/>
      <c r="G341" s="25"/>
      <c r="H341" s="23"/>
      <c r="J341" s="68"/>
      <c r="K341" s="74"/>
      <c r="L341" s="73"/>
      <c r="M341" s="19"/>
      <c r="N341" s="74"/>
      <c r="O341" s="72"/>
    </row>
    <row r="342" spans="1:15" ht="12.75">
      <c r="A342" s="24"/>
      <c r="B342" s="21" t="s">
        <v>504</v>
      </c>
      <c r="C342" s="22" t="s">
        <v>12</v>
      </c>
      <c r="D342" s="23">
        <v>289.47</v>
      </c>
      <c r="E342" s="24">
        <v>1</v>
      </c>
      <c r="F342" s="29">
        <v>1</v>
      </c>
      <c r="G342" s="25">
        <v>1</v>
      </c>
      <c r="H342" s="23">
        <f>PRODUCT(D342:G342)</f>
        <v>289.47</v>
      </c>
      <c r="J342" s="75"/>
      <c r="K342" s="75"/>
      <c r="L342" s="75"/>
      <c r="M342" s="75"/>
      <c r="N342" s="75"/>
      <c r="O342" s="76"/>
    </row>
    <row r="343" spans="1:12" ht="12.75">
      <c r="A343" s="24"/>
      <c r="B343" s="19" t="s">
        <v>505</v>
      </c>
      <c r="C343" s="27" t="s">
        <v>67</v>
      </c>
      <c r="D343" s="23">
        <v>861.5</v>
      </c>
      <c r="E343" s="24">
        <v>1</v>
      </c>
      <c r="F343" s="29">
        <v>0.09745</v>
      </c>
      <c r="G343" s="25">
        <v>1</v>
      </c>
      <c r="H343" s="23">
        <f>PRODUCT(D343:G343)</f>
        <v>83.953175</v>
      </c>
      <c r="J343" s="143"/>
      <c r="L343"/>
    </row>
    <row r="344" spans="1:12" ht="12.75">
      <c r="A344" s="24"/>
      <c r="B344" s="21" t="s">
        <v>372</v>
      </c>
      <c r="C344" s="22" t="s">
        <v>12</v>
      </c>
      <c r="D344" s="23">
        <v>193.6</v>
      </c>
      <c r="E344" s="24">
        <v>1</v>
      </c>
      <c r="F344" s="29">
        <v>1</v>
      </c>
      <c r="G344" s="25">
        <v>1</v>
      </c>
      <c r="H344" s="23">
        <f>PRODUCT(D344:G344)</f>
        <v>193.6</v>
      </c>
      <c r="J344"/>
      <c r="L344"/>
    </row>
    <row r="345" spans="1:12" ht="12.75">
      <c r="A345" s="24"/>
      <c r="B345" s="21"/>
      <c r="C345" s="22"/>
      <c r="D345" s="23"/>
      <c r="E345" s="24"/>
      <c r="F345" s="29"/>
      <c r="G345" s="25"/>
      <c r="H345" s="23">
        <f>SUM(H342:H344)</f>
        <v>567.023175</v>
      </c>
      <c r="J345"/>
      <c r="L345"/>
    </row>
    <row r="346" spans="1:12" ht="22.5" customHeight="1">
      <c r="A346" s="24"/>
      <c r="B346" s="156" t="s">
        <v>411</v>
      </c>
      <c r="C346" s="145">
        <f>G347/0.1</f>
        <v>2.9999999999999996</v>
      </c>
      <c r="D346" s="145" t="s">
        <v>343</v>
      </c>
      <c r="E346" s="146"/>
      <c r="F346" s="144"/>
      <c r="G346" s="163"/>
      <c r="H346" s="23"/>
      <c r="J346"/>
      <c r="L346"/>
    </row>
    <row r="347" spans="1:12" ht="12.75">
      <c r="A347" s="19"/>
      <c r="B347" s="144" t="s">
        <v>506</v>
      </c>
      <c r="C347" s="145" t="s">
        <v>342</v>
      </c>
      <c r="D347" s="146">
        <f>H203</f>
        <v>3504.3975843</v>
      </c>
      <c r="E347" s="24">
        <v>1</v>
      </c>
      <c r="F347" s="29">
        <v>1</v>
      </c>
      <c r="G347" s="144">
        <f>2.5*1*0.12</f>
        <v>0.3</v>
      </c>
      <c r="H347" s="23">
        <f aca="true" t="shared" si="15" ref="H347:H356">PRODUCT(D347:G347)</f>
        <v>1051.31927529</v>
      </c>
      <c r="J347"/>
      <c r="L347"/>
    </row>
    <row r="348" spans="1:12" ht="12.75">
      <c r="A348" s="19"/>
      <c r="B348" s="144" t="s">
        <v>507</v>
      </c>
      <c r="C348" s="145" t="s">
        <v>342</v>
      </c>
      <c r="D348" s="146">
        <f>H74</f>
        <v>422.88</v>
      </c>
      <c r="E348" s="24">
        <v>1</v>
      </c>
      <c r="F348" s="29">
        <v>1</v>
      </c>
      <c r="G348" s="144">
        <f>2.5*0.4*0.2</f>
        <v>0.2</v>
      </c>
      <c r="H348" s="23">
        <f t="shared" si="15"/>
        <v>84.57600000000001</v>
      </c>
      <c r="J348"/>
      <c r="L348"/>
    </row>
    <row r="349" spans="1:12" ht="12.75">
      <c r="A349" s="19"/>
      <c r="B349" s="144" t="s">
        <v>362</v>
      </c>
      <c r="C349" s="145" t="s">
        <v>342</v>
      </c>
      <c r="D349" s="146">
        <f>D277</f>
        <v>4298.810191199999</v>
      </c>
      <c r="E349" s="24">
        <v>1</v>
      </c>
      <c r="F349" s="29">
        <v>1</v>
      </c>
      <c r="G349" s="144">
        <f>2.5*0.2*2</f>
        <v>1</v>
      </c>
      <c r="H349" s="23">
        <f t="shared" si="15"/>
        <v>4298.810191199999</v>
      </c>
      <c r="J349"/>
      <c r="L349"/>
    </row>
    <row r="350" spans="1:12" ht="12.75">
      <c r="A350" s="19"/>
      <c r="B350" s="144" t="s">
        <v>508</v>
      </c>
      <c r="C350" s="145" t="s">
        <v>343</v>
      </c>
      <c r="D350" s="146">
        <f>H272</f>
        <v>897.68219138988</v>
      </c>
      <c r="E350" s="24">
        <v>1</v>
      </c>
      <c r="F350" s="29">
        <v>1</v>
      </c>
      <c r="G350" s="144">
        <f>(2.5*0.2*0.4)*2</f>
        <v>0.4</v>
      </c>
      <c r="H350" s="23">
        <f t="shared" si="15"/>
        <v>359.072876555952</v>
      </c>
      <c r="J350"/>
      <c r="L350"/>
    </row>
    <row r="351" spans="1:12" ht="12.75">
      <c r="A351" s="19"/>
      <c r="B351" s="144" t="s">
        <v>509</v>
      </c>
      <c r="C351" s="145" t="s">
        <v>343</v>
      </c>
      <c r="D351" s="146">
        <f>H292</f>
        <v>246.76653090046574</v>
      </c>
      <c r="E351" s="24">
        <v>1</v>
      </c>
      <c r="F351" s="29">
        <v>1</v>
      </c>
      <c r="G351" s="144">
        <v>0.4</v>
      </c>
      <c r="H351" s="23">
        <f t="shared" si="15"/>
        <v>98.7066123601863</v>
      </c>
      <c r="J351"/>
      <c r="L351"/>
    </row>
    <row r="352" spans="1:12" ht="12.75">
      <c r="A352" s="19"/>
      <c r="B352" s="144" t="s">
        <v>510</v>
      </c>
      <c r="C352" s="145" t="s">
        <v>343</v>
      </c>
      <c r="D352" s="146">
        <v>135</v>
      </c>
      <c r="E352" s="24">
        <v>1</v>
      </c>
      <c r="F352" s="29">
        <v>1</v>
      </c>
      <c r="G352" s="144">
        <v>3</v>
      </c>
      <c r="H352" s="23">
        <f t="shared" si="15"/>
        <v>405</v>
      </c>
      <c r="J352"/>
      <c r="L352"/>
    </row>
    <row r="353" spans="1:12" ht="12.75">
      <c r="A353" s="19"/>
      <c r="B353" s="144" t="s">
        <v>511</v>
      </c>
      <c r="C353" s="145" t="s">
        <v>343</v>
      </c>
      <c r="D353" s="146">
        <v>95</v>
      </c>
      <c r="E353" s="24">
        <v>1</v>
      </c>
      <c r="F353" s="29">
        <v>1</v>
      </c>
      <c r="G353" s="144">
        <f>G352</f>
        <v>3</v>
      </c>
      <c r="H353" s="23">
        <f t="shared" si="15"/>
        <v>285</v>
      </c>
      <c r="J353"/>
      <c r="L353"/>
    </row>
    <row r="354" spans="1:12" ht="12.75">
      <c r="A354" s="19"/>
      <c r="B354" s="144" t="s">
        <v>344</v>
      </c>
      <c r="C354" s="145" t="s">
        <v>343</v>
      </c>
      <c r="D354" s="146">
        <v>350</v>
      </c>
      <c r="E354" s="24">
        <v>1</v>
      </c>
      <c r="F354" s="29">
        <v>1</v>
      </c>
      <c r="G354" s="144">
        <v>2.9999999999999996</v>
      </c>
      <c r="H354" s="23">
        <f t="shared" si="15"/>
        <v>1049.9999999999998</v>
      </c>
      <c r="J354"/>
      <c r="L354"/>
    </row>
    <row r="355" spans="1:12" ht="12.75">
      <c r="A355" s="19"/>
      <c r="B355" s="144" t="s">
        <v>512</v>
      </c>
      <c r="C355" s="145" t="s">
        <v>43</v>
      </c>
      <c r="D355" s="146">
        <v>55</v>
      </c>
      <c r="E355" s="24">
        <v>1</v>
      </c>
      <c r="F355" s="29">
        <v>1</v>
      </c>
      <c r="G355" s="144">
        <f>G352*2</f>
        <v>6</v>
      </c>
      <c r="H355" s="23">
        <f t="shared" si="15"/>
        <v>330</v>
      </c>
      <c r="J355"/>
      <c r="L355"/>
    </row>
    <row r="356" spans="1:12" ht="12.75">
      <c r="A356" s="19"/>
      <c r="B356" s="144" t="s">
        <v>513</v>
      </c>
      <c r="C356" s="145" t="s">
        <v>32</v>
      </c>
      <c r="D356" s="146">
        <v>493.33</v>
      </c>
      <c r="E356" s="24">
        <v>1</v>
      </c>
      <c r="F356" s="29">
        <v>1.1</v>
      </c>
      <c r="G356" s="144">
        <v>1</v>
      </c>
      <c r="H356" s="23">
        <f t="shared" si="15"/>
        <v>542.663</v>
      </c>
      <c r="J356"/>
      <c r="L356"/>
    </row>
    <row r="357" spans="1:12" ht="12.75">
      <c r="A357" s="19"/>
      <c r="B357" s="144"/>
      <c r="C357" s="145"/>
      <c r="D357" s="145"/>
      <c r="E357" s="146"/>
      <c r="F357" s="144"/>
      <c r="G357" s="147"/>
      <c r="H357" s="147">
        <f>SUM(H347:H356)/C346</f>
        <v>2835.049318468713</v>
      </c>
      <c r="J357"/>
      <c r="L357"/>
    </row>
    <row r="358" spans="1:12" ht="12.75">
      <c r="A358" s="19"/>
      <c r="B358" s="155" t="s">
        <v>430</v>
      </c>
      <c r="C358" s="145"/>
      <c r="D358" s="145"/>
      <c r="E358" s="146"/>
      <c r="F358" s="144"/>
      <c r="G358" s="147"/>
      <c r="H358" s="147"/>
      <c r="J358"/>
      <c r="L358"/>
    </row>
    <row r="359" spans="1:12" ht="12.75">
      <c r="A359" s="19"/>
      <c r="B359" s="144" t="s">
        <v>430</v>
      </c>
      <c r="C359" s="145" t="s">
        <v>8</v>
      </c>
      <c r="D359" s="145">
        <v>1183</v>
      </c>
      <c r="E359" s="24">
        <v>1</v>
      </c>
      <c r="F359" s="29">
        <v>1</v>
      </c>
      <c r="G359" s="146">
        <v>1</v>
      </c>
      <c r="H359" s="23">
        <f>PRODUCT(D359:G359)</f>
        <v>1183</v>
      </c>
      <c r="J359"/>
      <c r="L359"/>
    </row>
    <row r="360" spans="1:12" ht="12.75">
      <c r="A360" s="19"/>
      <c r="B360" s="144"/>
      <c r="C360" s="145"/>
      <c r="D360" s="145"/>
      <c r="E360" s="146"/>
      <c r="F360" s="144"/>
      <c r="G360" s="147"/>
      <c r="H360" s="147">
        <f>SUM(H359)</f>
        <v>1183</v>
      </c>
      <c r="J360"/>
      <c r="L360"/>
    </row>
    <row r="361" spans="1:12" ht="12.75">
      <c r="A361" s="19"/>
      <c r="B361" s="671" t="s">
        <v>436</v>
      </c>
      <c r="C361" s="672"/>
      <c r="D361" s="162"/>
      <c r="E361" s="225"/>
      <c r="F361" s="161"/>
      <c r="G361" s="226"/>
      <c r="H361" s="227"/>
      <c r="I361" s="159"/>
      <c r="J361"/>
      <c r="L361"/>
    </row>
    <row r="362" spans="1:12" ht="12.75">
      <c r="A362" s="19"/>
      <c r="B362" s="228" t="s">
        <v>599</v>
      </c>
      <c r="C362" s="162" t="s">
        <v>7</v>
      </c>
      <c r="D362" s="225">
        <f>H209</f>
        <v>3159.8192999999997</v>
      </c>
      <c r="E362" s="19">
        <v>1</v>
      </c>
      <c r="F362" s="161">
        <v>1.065</v>
      </c>
      <c r="G362" s="229">
        <v>0.1</v>
      </c>
      <c r="H362" s="230">
        <f>ROUND(D362*E362*F362*G362,2)</f>
        <v>336.52</v>
      </c>
      <c r="J362"/>
      <c r="L362"/>
    </row>
    <row r="363" spans="1:12" ht="12.75">
      <c r="A363" s="19"/>
      <c r="B363" s="228" t="s">
        <v>598</v>
      </c>
      <c r="C363" s="162" t="s">
        <v>7</v>
      </c>
      <c r="D363" s="225">
        <f>H215</f>
        <v>1379.5614806948508</v>
      </c>
      <c r="E363" s="19">
        <v>1</v>
      </c>
      <c r="F363" s="161">
        <v>1</v>
      </c>
      <c r="G363" s="229">
        <v>0.1</v>
      </c>
      <c r="H363" s="230">
        <f>ROUND(D363*E363*F363*G363,2)</f>
        <v>137.96</v>
      </c>
      <c r="J363"/>
      <c r="L363"/>
    </row>
    <row r="364" spans="1:12" ht="12.75">
      <c r="A364" s="19"/>
      <c r="B364" s="231"/>
      <c r="C364" s="162"/>
      <c r="D364" s="225"/>
      <c r="E364" s="161"/>
      <c r="F364" s="19"/>
      <c r="G364" s="229"/>
      <c r="H364" s="232">
        <f>SUM(H362:H363)</f>
        <v>474.48</v>
      </c>
      <c r="J364"/>
      <c r="L364"/>
    </row>
    <row r="365" spans="1:12" ht="25.5">
      <c r="A365" s="526"/>
      <c r="B365" s="233" t="s">
        <v>437</v>
      </c>
      <c r="C365" s="162"/>
      <c r="D365" s="225"/>
      <c r="E365" s="161"/>
      <c r="F365" s="226"/>
      <c r="G365" s="227"/>
      <c r="H365" s="234"/>
      <c r="J365"/>
      <c r="L365"/>
    </row>
    <row r="366" spans="1:12" ht="12.75">
      <c r="A366" s="24"/>
      <c r="B366" s="228" t="s">
        <v>606</v>
      </c>
      <c r="C366" s="162" t="s">
        <v>8</v>
      </c>
      <c r="D366" s="225">
        <f>'Lista de recursos'!F166</f>
        <v>113.99</v>
      </c>
      <c r="E366" s="19">
        <v>0.73</v>
      </c>
      <c r="F366" s="161">
        <v>1</v>
      </c>
      <c r="G366" s="229">
        <v>1</v>
      </c>
      <c r="H366" s="230">
        <f aca="true" t="shared" si="16" ref="H366:H371">ROUND(D366*E366*F366*G366,2)</f>
        <v>83.21</v>
      </c>
      <c r="J366"/>
      <c r="L366"/>
    </row>
    <row r="367" spans="1:12" ht="12.75">
      <c r="A367" s="24"/>
      <c r="B367" s="228" t="s">
        <v>599</v>
      </c>
      <c r="C367" s="162" t="s">
        <v>7</v>
      </c>
      <c r="D367" s="225">
        <f>H209</f>
        <v>3159.8192999999997</v>
      </c>
      <c r="E367" s="19">
        <v>1</v>
      </c>
      <c r="F367" s="161">
        <v>1.05</v>
      </c>
      <c r="G367" s="229">
        <v>0.08</v>
      </c>
      <c r="H367" s="230">
        <f t="shared" si="16"/>
        <v>265.42</v>
      </c>
      <c r="J367"/>
      <c r="L367"/>
    </row>
    <row r="368" spans="1:12" ht="12.75">
      <c r="A368" s="24"/>
      <c r="B368" s="228" t="s">
        <v>598</v>
      </c>
      <c r="C368" s="162" t="s">
        <v>7</v>
      </c>
      <c r="D368" s="225">
        <f>H215</f>
        <v>1379.5614806948508</v>
      </c>
      <c r="E368" s="19">
        <v>1</v>
      </c>
      <c r="F368" s="161">
        <v>1</v>
      </c>
      <c r="G368" s="229">
        <v>0.08</v>
      </c>
      <c r="H368" s="230">
        <f t="shared" si="16"/>
        <v>110.36</v>
      </c>
      <c r="J368"/>
      <c r="L368"/>
    </row>
    <row r="369" spans="1:12" ht="12.75">
      <c r="A369" s="24"/>
      <c r="B369" s="228" t="s">
        <v>605</v>
      </c>
      <c r="C369" s="162" t="s">
        <v>39</v>
      </c>
      <c r="D369" s="225">
        <f>'Lista de recursos'!F15</f>
        <v>2622.4024999999997</v>
      </c>
      <c r="E369" s="19">
        <v>1</v>
      </c>
      <c r="F369" s="161">
        <v>1</v>
      </c>
      <c r="G369" s="229">
        <v>0.02</v>
      </c>
      <c r="H369" s="230">
        <f t="shared" si="16"/>
        <v>52.45</v>
      </c>
      <c r="J369"/>
      <c r="L369"/>
    </row>
    <row r="370" spans="1:12" ht="12.75">
      <c r="A370" s="24"/>
      <c r="B370" s="228" t="s">
        <v>101</v>
      </c>
      <c r="C370" s="162" t="s">
        <v>92</v>
      </c>
      <c r="D370" s="225">
        <f>'Lista de recursos'!F58</f>
        <v>60</v>
      </c>
      <c r="E370" s="19">
        <v>1</v>
      </c>
      <c r="F370" s="161">
        <v>1</v>
      </c>
      <c r="G370" s="229">
        <v>0.08</v>
      </c>
      <c r="H370" s="230">
        <f t="shared" si="16"/>
        <v>4.8</v>
      </c>
      <c r="J370"/>
      <c r="L370"/>
    </row>
    <row r="371" spans="1:12" ht="12.75">
      <c r="A371" s="24"/>
      <c r="B371" s="228" t="s">
        <v>78</v>
      </c>
      <c r="C371" s="162" t="s">
        <v>7</v>
      </c>
      <c r="D371" s="225">
        <f>D349</f>
        <v>4298.810191199999</v>
      </c>
      <c r="E371" s="19">
        <v>1</v>
      </c>
      <c r="F371" s="161">
        <v>1</v>
      </c>
      <c r="G371" s="229">
        <v>0.02</v>
      </c>
      <c r="H371" s="230">
        <f t="shared" si="16"/>
        <v>85.98</v>
      </c>
      <c r="J371"/>
      <c r="L371"/>
    </row>
    <row r="372" spans="1:12" ht="12.75">
      <c r="A372" s="24"/>
      <c r="B372" s="231"/>
      <c r="C372" s="162"/>
      <c r="D372" s="225"/>
      <c r="E372" s="161"/>
      <c r="F372" s="19"/>
      <c r="G372" s="229"/>
      <c r="H372" s="232">
        <f>SUM(H366:H371)</f>
        <v>602.22</v>
      </c>
      <c r="J372"/>
      <c r="L372"/>
    </row>
    <row r="373" spans="1:12" ht="51">
      <c r="A373" s="19"/>
      <c r="B373" s="235" t="s">
        <v>438</v>
      </c>
      <c r="C373" s="162"/>
      <c r="D373" s="225"/>
      <c r="E373" s="161"/>
      <c r="F373" s="226"/>
      <c r="G373" s="227"/>
      <c r="H373" s="234"/>
      <c r="J373"/>
      <c r="L373"/>
    </row>
    <row r="374" spans="1:12" ht="12.75">
      <c r="A374" s="19"/>
      <c r="B374" s="228" t="s">
        <v>606</v>
      </c>
      <c r="C374" s="162" t="s">
        <v>8</v>
      </c>
      <c r="D374" s="225">
        <f>D366</f>
        <v>113.99</v>
      </c>
      <c r="E374" s="19">
        <v>1</v>
      </c>
      <c r="F374" s="161">
        <v>1</v>
      </c>
      <c r="G374" s="229">
        <v>2.25</v>
      </c>
      <c r="H374" s="230">
        <f aca="true" t="shared" si="17" ref="H374:H379">ROUND(D374*E374*F374*G374,2)</f>
        <v>256.48</v>
      </c>
      <c r="J374"/>
      <c r="L374"/>
    </row>
    <row r="375" spans="1:12" ht="12.75">
      <c r="A375" s="19"/>
      <c r="B375" s="228" t="s">
        <v>611</v>
      </c>
      <c r="C375" s="162" t="s">
        <v>7</v>
      </c>
      <c r="D375" s="225">
        <f>H197</f>
        <v>3655.4422591</v>
      </c>
      <c r="E375" s="19">
        <v>1</v>
      </c>
      <c r="F375" s="161">
        <v>1.1</v>
      </c>
      <c r="G375" s="229">
        <f>2.25*0.3</f>
        <v>0.6749999999999999</v>
      </c>
      <c r="H375" s="230">
        <f t="shared" si="17"/>
        <v>2714.17</v>
      </c>
      <c r="J375"/>
      <c r="L375"/>
    </row>
    <row r="376" spans="1:12" ht="12.75">
      <c r="A376" s="19"/>
      <c r="B376" s="228" t="s">
        <v>598</v>
      </c>
      <c r="C376" s="162" t="s">
        <v>7</v>
      </c>
      <c r="D376" s="225">
        <f>D368</f>
        <v>1379.5614806948508</v>
      </c>
      <c r="E376" s="19">
        <v>1</v>
      </c>
      <c r="F376" s="161">
        <v>1</v>
      </c>
      <c r="G376" s="229">
        <v>0.67544</v>
      </c>
      <c r="H376" s="230">
        <f t="shared" si="17"/>
        <v>931.81</v>
      </c>
      <c r="J376"/>
      <c r="L376"/>
    </row>
    <row r="377" spans="1:12" ht="12.75">
      <c r="A377" s="19"/>
      <c r="B377" s="228" t="s">
        <v>605</v>
      </c>
      <c r="C377" s="162" t="s">
        <v>39</v>
      </c>
      <c r="D377" s="225">
        <f>D369</f>
        <v>2622.4024999999997</v>
      </c>
      <c r="E377" s="19">
        <v>1</v>
      </c>
      <c r="F377" s="161">
        <v>1.1</v>
      </c>
      <c r="G377" s="229">
        <f>0.06*2.25</f>
        <v>0.135</v>
      </c>
      <c r="H377" s="230">
        <f t="shared" si="17"/>
        <v>389.43</v>
      </c>
      <c r="J377"/>
      <c r="L377"/>
    </row>
    <row r="378" spans="1:12" ht="12.75">
      <c r="A378" s="19"/>
      <c r="B378" s="228" t="s">
        <v>78</v>
      </c>
      <c r="C378" s="162" t="s">
        <v>7</v>
      </c>
      <c r="D378" s="225">
        <f>D371</f>
        <v>4298.810191199999</v>
      </c>
      <c r="E378" s="19">
        <v>1</v>
      </c>
      <c r="F378" s="161">
        <v>1</v>
      </c>
      <c r="G378" s="229">
        <f>0.02*2.25</f>
        <v>0.045</v>
      </c>
      <c r="H378" s="230">
        <f t="shared" si="17"/>
        <v>193.45</v>
      </c>
      <c r="J378"/>
      <c r="L378"/>
    </row>
    <row r="379" spans="1:12" ht="12.75">
      <c r="A379" s="19"/>
      <c r="B379" s="231" t="s">
        <v>610</v>
      </c>
      <c r="C379" s="162" t="s">
        <v>21</v>
      </c>
      <c r="D379" s="225">
        <v>2600</v>
      </c>
      <c r="E379" s="19">
        <v>1</v>
      </c>
      <c r="F379" s="161">
        <v>1</v>
      </c>
      <c r="G379" s="229">
        <v>1</v>
      </c>
      <c r="H379" s="230">
        <f t="shared" si="17"/>
        <v>2600</v>
      </c>
      <c r="J379"/>
      <c r="L379"/>
    </row>
    <row r="380" spans="1:12" ht="12.75">
      <c r="A380" s="19"/>
      <c r="B380" s="231"/>
      <c r="C380" s="162"/>
      <c r="D380" s="225"/>
      <c r="E380" s="161"/>
      <c r="F380" s="19"/>
      <c r="G380" s="229"/>
      <c r="H380" s="232">
        <f>SUM(H374:H379)</f>
        <v>7085.34</v>
      </c>
      <c r="J380"/>
      <c r="L380"/>
    </row>
    <row r="381" spans="1:12" ht="76.5">
      <c r="A381" s="19"/>
      <c r="B381" s="235" t="s">
        <v>618</v>
      </c>
      <c r="C381" s="162"/>
      <c r="D381" s="225"/>
      <c r="E381" s="161"/>
      <c r="F381" s="226"/>
      <c r="G381" s="227"/>
      <c r="H381" s="234"/>
      <c r="J381"/>
      <c r="L381"/>
    </row>
    <row r="382" spans="1:12" ht="12.75">
      <c r="A382" s="19"/>
      <c r="B382" s="228" t="s">
        <v>611</v>
      </c>
      <c r="C382" s="162" t="s">
        <v>7</v>
      </c>
      <c r="D382" s="225">
        <f>'Lista de recursos'!F52</f>
        <v>5035</v>
      </c>
      <c r="E382" s="19">
        <v>1</v>
      </c>
      <c r="F382" s="161">
        <v>1.05</v>
      </c>
      <c r="G382" s="229">
        <v>0.13</v>
      </c>
      <c r="H382" s="230">
        <f aca="true" t="shared" si="18" ref="H382:H387">ROUND(D382*E382*F382*G382,2)</f>
        <v>687.28</v>
      </c>
      <c r="J382"/>
      <c r="L382"/>
    </row>
    <row r="383" spans="1:12" ht="12.75">
      <c r="A383" s="19"/>
      <c r="B383" s="228" t="s">
        <v>605</v>
      </c>
      <c r="C383" s="162" t="s">
        <v>39</v>
      </c>
      <c r="D383" s="225">
        <f>D369</f>
        <v>2622.4024999999997</v>
      </c>
      <c r="E383" s="19">
        <v>1</v>
      </c>
      <c r="F383" s="161">
        <v>1</v>
      </c>
      <c r="G383" s="229">
        <v>0.035</v>
      </c>
      <c r="H383" s="230">
        <f t="shared" si="18"/>
        <v>91.78</v>
      </c>
      <c r="J383"/>
      <c r="L383"/>
    </row>
    <row r="384" spans="1:12" ht="12.75">
      <c r="A384" s="19"/>
      <c r="B384" s="228" t="s">
        <v>101</v>
      </c>
      <c r="C384" s="162" t="s">
        <v>92</v>
      </c>
      <c r="D384" s="225">
        <f>D370</f>
        <v>60</v>
      </c>
      <c r="E384" s="19">
        <v>1</v>
      </c>
      <c r="F384" s="161">
        <v>1</v>
      </c>
      <c r="G384" s="229">
        <v>0.3</v>
      </c>
      <c r="H384" s="230">
        <f t="shared" si="18"/>
        <v>18</v>
      </c>
      <c r="J384"/>
      <c r="L384"/>
    </row>
    <row r="385" spans="1:12" ht="12.75">
      <c r="A385" s="19"/>
      <c r="B385" s="228" t="s">
        <v>78</v>
      </c>
      <c r="C385" s="162" t="s">
        <v>7</v>
      </c>
      <c r="D385" s="225">
        <f>D371</f>
        <v>4298.810191199999</v>
      </c>
      <c r="E385" s="19">
        <v>1</v>
      </c>
      <c r="F385" s="161">
        <v>1</v>
      </c>
      <c r="G385" s="229">
        <v>0.02</v>
      </c>
      <c r="H385" s="230">
        <f t="shared" si="18"/>
        <v>85.98</v>
      </c>
      <c r="J385"/>
      <c r="L385"/>
    </row>
    <row r="386" spans="1:12" ht="12.75">
      <c r="A386" s="19"/>
      <c r="B386" s="231" t="s">
        <v>619</v>
      </c>
      <c r="C386" s="162" t="s">
        <v>8</v>
      </c>
      <c r="D386" s="225">
        <v>167.3</v>
      </c>
      <c r="E386" s="19">
        <v>1</v>
      </c>
      <c r="F386" s="161">
        <v>1</v>
      </c>
      <c r="G386" s="229">
        <v>1</v>
      </c>
      <c r="H386" s="230">
        <f t="shared" si="18"/>
        <v>167.3</v>
      </c>
      <c r="J386"/>
      <c r="L386"/>
    </row>
    <row r="387" spans="1:12" ht="12.75">
      <c r="A387" s="19"/>
      <c r="B387" s="231" t="s">
        <v>620</v>
      </c>
      <c r="C387" s="162" t="s">
        <v>12</v>
      </c>
      <c r="D387" s="225">
        <f>169.55975/5</f>
        <v>33.911950000000004</v>
      </c>
      <c r="E387" s="19">
        <v>1</v>
      </c>
      <c r="F387" s="161">
        <v>1</v>
      </c>
      <c r="G387" s="229">
        <f>1/0.2</f>
        <v>5</v>
      </c>
      <c r="H387" s="230">
        <f t="shared" si="18"/>
        <v>169.56</v>
      </c>
      <c r="J387" s="143"/>
      <c r="L387"/>
    </row>
    <row r="388" spans="1:12" ht="12.75">
      <c r="A388" s="19"/>
      <c r="B388" s="231"/>
      <c r="C388" s="162"/>
      <c r="D388" s="225"/>
      <c r="E388" s="161"/>
      <c r="F388" s="19"/>
      <c r="G388" s="229"/>
      <c r="H388" s="232">
        <f>SUM(H382:H387)</f>
        <v>1219.8999999999999</v>
      </c>
      <c r="J388"/>
      <c r="L388"/>
    </row>
    <row r="389" spans="1:12" ht="12.75">
      <c r="A389" s="19"/>
      <c r="B389" s="233" t="s">
        <v>441</v>
      </c>
      <c r="C389" s="162"/>
      <c r="D389" s="225"/>
      <c r="E389" s="161"/>
      <c r="F389" s="226"/>
      <c r="G389" s="227"/>
      <c r="H389" s="234"/>
      <c r="J389"/>
      <c r="L389"/>
    </row>
    <row r="390" spans="1:12" ht="12.75">
      <c r="A390" s="19"/>
      <c r="B390" s="228" t="s">
        <v>606</v>
      </c>
      <c r="C390" s="162" t="s">
        <v>8</v>
      </c>
      <c r="D390" s="225">
        <f>D366+106.16</f>
        <v>220.14999999999998</v>
      </c>
      <c r="E390" s="19">
        <v>1</v>
      </c>
      <c r="F390" s="161">
        <v>1</v>
      </c>
      <c r="G390" s="229">
        <v>1</v>
      </c>
      <c r="H390" s="230">
        <f aca="true" t="shared" si="19" ref="H390:H395">ROUND(D390*E390*F390*G390,2)</f>
        <v>220.15</v>
      </c>
      <c r="J390"/>
      <c r="L390"/>
    </row>
    <row r="391" spans="1:12" ht="12.75">
      <c r="A391" s="19"/>
      <c r="B391" s="228" t="s">
        <v>621</v>
      </c>
      <c r="C391" s="162" t="s">
        <v>7</v>
      </c>
      <c r="D391" s="225">
        <f>H203</f>
        <v>3504.3975843</v>
      </c>
      <c r="E391" s="19">
        <v>1</v>
      </c>
      <c r="F391" s="161">
        <v>1.05</v>
      </c>
      <c r="G391" s="229">
        <v>0.08</v>
      </c>
      <c r="H391" s="230">
        <f t="shared" si="19"/>
        <v>294.37</v>
      </c>
      <c r="J391"/>
      <c r="L391"/>
    </row>
    <row r="392" spans="1:12" ht="12.75">
      <c r="A392" s="19"/>
      <c r="B392" s="228" t="s">
        <v>598</v>
      </c>
      <c r="C392" s="162" t="s">
        <v>7</v>
      </c>
      <c r="D392" s="225">
        <f>D368</f>
        <v>1379.5614806948508</v>
      </c>
      <c r="E392" s="19">
        <v>1</v>
      </c>
      <c r="F392" s="161">
        <v>1</v>
      </c>
      <c r="G392" s="229">
        <v>0.08</v>
      </c>
      <c r="H392" s="230">
        <f t="shared" si="19"/>
        <v>110.36</v>
      </c>
      <c r="J392"/>
      <c r="L392"/>
    </row>
    <row r="393" spans="1:12" ht="12.75">
      <c r="A393" s="19"/>
      <c r="B393" s="228" t="s">
        <v>605</v>
      </c>
      <c r="C393" s="162" t="s">
        <v>39</v>
      </c>
      <c r="D393" s="225">
        <f>D369</f>
        <v>2622.4024999999997</v>
      </c>
      <c r="E393" s="19">
        <v>1</v>
      </c>
      <c r="F393" s="161">
        <v>1</v>
      </c>
      <c r="G393" s="229">
        <v>0.02</v>
      </c>
      <c r="H393" s="230">
        <f t="shared" si="19"/>
        <v>52.45</v>
      </c>
      <c r="J393"/>
      <c r="L393"/>
    </row>
    <row r="394" spans="1:12" ht="12.75">
      <c r="A394" s="19"/>
      <c r="B394" s="228" t="s">
        <v>101</v>
      </c>
      <c r="C394" s="162" t="s">
        <v>92</v>
      </c>
      <c r="D394" s="225">
        <f>D370</f>
        <v>60</v>
      </c>
      <c r="E394" s="19">
        <v>1</v>
      </c>
      <c r="F394" s="161">
        <v>1</v>
      </c>
      <c r="G394" s="229">
        <v>0.3</v>
      </c>
      <c r="H394" s="230">
        <f t="shared" si="19"/>
        <v>18</v>
      </c>
      <c r="J394"/>
      <c r="L394"/>
    </row>
    <row r="395" spans="1:12" ht="12.75">
      <c r="A395" s="19"/>
      <c r="B395" s="228" t="s">
        <v>78</v>
      </c>
      <c r="C395" s="162" t="s">
        <v>7</v>
      </c>
      <c r="D395" s="225">
        <f>D371</f>
        <v>4298.810191199999</v>
      </c>
      <c r="E395" s="19">
        <v>1</v>
      </c>
      <c r="F395" s="161">
        <v>1</v>
      </c>
      <c r="G395" s="229">
        <v>0.02</v>
      </c>
      <c r="H395" s="230">
        <f t="shared" si="19"/>
        <v>85.98</v>
      </c>
      <c r="J395"/>
      <c r="L395"/>
    </row>
    <row r="396" spans="1:12" ht="12.75">
      <c r="A396" s="19"/>
      <c r="B396" s="231"/>
      <c r="C396" s="162"/>
      <c r="D396" s="225"/>
      <c r="E396" s="161"/>
      <c r="F396" s="19"/>
      <c r="G396" s="229"/>
      <c r="H396" s="232">
        <f>SUM(H390:H395)</f>
        <v>781.3100000000001</v>
      </c>
      <c r="J396"/>
      <c r="K396" s="143"/>
      <c r="L396"/>
    </row>
    <row r="397" spans="1:12" ht="12.75">
      <c r="A397" s="19"/>
      <c r="B397" s="315" t="s">
        <v>629</v>
      </c>
      <c r="C397" s="162"/>
      <c r="D397" s="225"/>
      <c r="E397" s="161"/>
      <c r="F397" s="19"/>
      <c r="G397" s="229"/>
      <c r="H397" s="232"/>
      <c r="J397"/>
      <c r="L397"/>
    </row>
    <row r="398" spans="1:12" ht="12.75">
      <c r="A398" s="19"/>
      <c r="B398" s="316" t="s">
        <v>622</v>
      </c>
      <c r="C398" s="317" t="s">
        <v>374</v>
      </c>
      <c r="D398" s="244">
        <f>'Lista de recursos'!F55</f>
        <v>42.55</v>
      </c>
      <c r="E398" s="19">
        <v>1</v>
      </c>
      <c r="F398" s="161">
        <v>1</v>
      </c>
      <c r="G398" s="320">
        <v>11.98</v>
      </c>
      <c r="H398" s="230">
        <f>ROUND(D398*E398*F398*G398,2)</f>
        <v>509.75</v>
      </c>
      <c r="J398"/>
      <c r="L398"/>
    </row>
    <row r="399" spans="1:12" ht="12.75">
      <c r="A399" s="19"/>
      <c r="B399" s="316" t="s">
        <v>623</v>
      </c>
      <c r="C399" s="317" t="s">
        <v>624</v>
      </c>
      <c r="D399" s="244">
        <f>'Lista de recursos'!F70</f>
        <v>42.739405</v>
      </c>
      <c r="E399" s="19">
        <v>1</v>
      </c>
      <c r="F399" s="161">
        <v>1</v>
      </c>
      <c r="G399" s="320">
        <v>5.5</v>
      </c>
      <c r="H399" s="230">
        <f aca="true" t="shared" si="20" ref="H399:H404">ROUND(D399*E399*F399*G399,2)</f>
        <v>235.07</v>
      </c>
      <c r="J399"/>
      <c r="L399"/>
    </row>
    <row r="400" spans="1:12" ht="12.75">
      <c r="A400" s="19"/>
      <c r="B400" s="316" t="s">
        <v>630</v>
      </c>
      <c r="C400" s="317" t="s">
        <v>4</v>
      </c>
      <c r="D400" s="244">
        <f>H209</f>
        <v>3159.8192999999997</v>
      </c>
      <c r="E400" s="19">
        <v>1</v>
      </c>
      <c r="F400" s="161">
        <v>1</v>
      </c>
      <c r="G400" s="320">
        <v>1.02</v>
      </c>
      <c r="H400" s="230">
        <f t="shared" si="20"/>
        <v>3223.02</v>
      </c>
      <c r="J400"/>
      <c r="L400"/>
    </row>
    <row r="401" spans="1:12" ht="12.75">
      <c r="A401" s="19"/>
      <c r="B401" s="318" t="s">
        <v>625</v>
      </c>
      <c r="C401" s="317" t="s">
        <v>4</v>
      </c>
      <c r="D401" s="244">
        <v>1740</v>
      </c>
      <c r="E401" s="19">
        <v>1</v>
      </c>
      <c r="F401" s="161">
        <v>1</v>
      </c>
      <c r="G401" s="320">
        <f>ROUND(10*0.45*0.15*1.1,2)</f>
        <v>0.74</v>
      </c>
      <c r="H401" s="230">
        <f t="shared" si="20"/>
        <v>1287.6</v>
      </c>
      <c r="J401"/>
      <c r="L401"/>
    </row>
    <row r="402" spans="1:12" ht="12.75">
      <c r="A402" s="19"/>
      <c r="B402" s="316" t="s">
        <v>628</v>
      </c>
      <c r="C402" s="317" t="s">
        <v>4</v>
      </c>
      <c r="D402" s="244">
        <f>D378</f>
        <v>4298.810191199999</v>
      </c>
      <c r="E402" s="19">
        <v>1</v>
      </c>
      <c r="F402" s="161">
        <v>1</v>
      </c>
      <c r="G402" s="320">
        <v>0.1</v>
      </c>
      <c r="H402" s="230">
        <f t="shared" si="20"/>
        <v>429.88</v>
      </c>
      <c r="J402"/>
      <c r="L402"/>
    </row>
    <row r="403" spans="1:12" ht="15">
      <c r="A403" s="19"/>
      <c r="B403" s="316" t="s">
        <v>626</v>
      </c>
      <c r="C403" s="317" t="s">
        <v>4</v>
      </c>
      <c r="D403" s="244">
        <v>359.36</v>
      </c>
      <c r="E403" s="19">
        <v>1</v>
      </c>
      <c r="F403" s="161">
        <v>1</v>
      </c>
      <c r="G403" s="320">
        <v>1</v>
      </c>
      <c r="H403" s="230">
        <f t="shared" si="20"/>
        <v>359.36</v>
      </c>
      <c r="J403" s="118"/>
      <c r="L403"/>
    </row>
    <row r="404" spans="1:12" ht="12.75">
      <c r="A404" s="19"/>
      <c r="B404" s="316" t="s">
        <v>627</v>
      </c>
      <c r="C404" s="317" t="s">
        <v>203</v>
      </c>
      <c r="D404" s="244">
        <v>300</v>
      </c>
      <c r="E404" s="19">
        <v>1</v>
      </c>
      <c r="F404" s="161">
        <v>1</v>
      </c>
      <c r="G404" s="320">
        <v>10</v>
      </c>
      <c r="H404" s="230">
        <f t="shared" si="20"/>
        <v>3000</v>
      </c>
      <c r="J404"/>
      <c r="L404"/>
    </row>
    <row r="405" spans="1:12" ht="12.75">
      <c r="A405" s="19"/>
      <c r="B405" s="249"/>
      <c r="C405" s="255"/>
      <c r="D405" s="255"/>
      <c r="E405" s="244" t="s">
        <v>4</v>
      </c>
      <c r="F405" s="134"/>
      <c r="G405" s="229"/>
      <c r="H405" s="319">
        <f>SUM(H398:H404)</f>
        <v>9044.68</v>
      </c>
      <c r="J405"/>
      <c r="L405"/>
    </row>
    <row r="406" spans="1:12" ht="12.75">
      <c r="A406" s="19"/>
      <c r="B406" s="228"/>
      <c r="C406" s="162"/>
      <c r="D406" s="225"/>
      <c r="E406" s="321" t="s">
        <v>12</v>
      </c>
      <c r="F406" s="19"/>
      <c r="G406" s="229"/>
      <c r="H406" s="232">
        <f>H405/10</f>
        <v>904.4680000000001</v>
      </c>
      <c r="J406"/>
      <c r="L406"/>
    </row>
    <row r="407" spans="1:12" ht="127.5">
      <c r="A407" s="19"/>
      <c r="B407" s="325" t="s">
        <v>637</v>
      </c>
      <c r="C407" s="322"/>
      <c r="D407" s="323"/>
      <c r="E407" s="323"/>
      <c r="F407" s="323"/>
      <c r="G407" s="229"/>
      <c r="H407" s="232"/>
      <c r="J407"/>
      <c r="L407"/>
    </row>
    <row r="408" spans="1:12" ht="12.75">
      <c r="A408" s="19"/>
      <c r="B408" s="324" t="s">
        <v>631</v>
      </c>
      <c r="C408" s="322" t="s">
        <v>4</v>
      </c>
      <c r="D408" s="323">
        <f>H74</f>
        <v>422.88</v>
      </c>
      <c r="E408" s="19">
        <v>1</v>
      </c>
      <c r="F408" s="161">
        <v>1</v>
      </c>
      <c r="G408" s="326">
        <f>6*1.5*0.57</f>
        <v>5.13</v>
      </c>
      <c r="H408" s="323">
        <f aca="true" t="shared" si="21" ref="H408:H413">+D408*G408</f>
        <v>2169.3744</v>
      </c>
      <c r="J408"/>
      <c r="L408"/>
    </row>
    <row r="409" spans="1:12" ht="12.75">
      <c r="A409" s="19"/>
      <c r="B409" s="324" t="s">
        <v>632</v>
      </c>
      <c r="C409" s="322" t="s">
        <v>295</v>
      </c>
      <c r="D409" s="323">
        <v>325</v>
      </c>
      <c r="E409" s="19">
        <v>1</v>
      </c>
      <c r="F409" s="161">
        <v>1</v>
      </c>
      <c r="G409" s="326">
        <v>1</v>
      </c>
      <c r="H409" s="323">
        <f t="shared" si="21"/>
        <v>325</v>
      </c>
      <c r="J409"/>
      <c r="L409"/>
    </row>
    <row r="410" spans="1:12" ht="12.75">
      <c r="A410" s="19"/>
      <c r="B410" s="324" t="s">
        <v>633</v>
      </c>
      <c r="C410" s="322" t="s">
        <v>4</v>
      </c>
      <c r="D410" s="323">
        <f>H95</f>
        <v>248.75</v>
      </c>
      <c r="E410" s="19">
        <v>1</v>
      </c>
      <c r="F410" s="161">
        <v>1</v>
      </c>
      <c r="G410" s="326">
        <f>+G408*1.1</f>
        <v>5.643000000000001</v>
      </c>
      <c r="H410" s="323">
        <f t="shared" si="21"/>
        <v>1403.6962500000002</v>
      </c>
      <c r="J410"/>
      <c r="L410"/>
    </row>
    <row r="411" spans="1:12" ht="12.75">
      <c r="A411" s="19"/>
      <c r="B411" s="324" t="s">
        <v>634</v>
      </c>
      <c r="C411" s="322" t="s">
        <v>4</v>
      </c>
      <c r="D411" s="323">
        <v>2750</v>
      </c>
      <c r="E411" s="19">
        <v>1</v>
      </c>
      <c r="F411" s="161">
        <v>1</v>
      </c>
      <c r="G411" s="326">
        <f>6*1.5*0.2</f>
        <v>1.8</v>
      </c>
      <c r="H411" s="323">
        <f t="shared" si="21"/>
        <v>4950</v>
      </c>
      <c r="J411"/>
      <c r="L411"/>
    </row>
    <row r="412" spans="1:12" ht="12.75">
      <c r="A412" s="19"/>
      <c r="B412" s="324" t="s">
        <v>635</v>
      </c>
      <c r="C412" s="322" t="s">
        <v>4</v>
      </c>
      <c r="D412" s="323">
        <f>D400</f>
        <v>3159.8192999999997</v>
      </c>
      <c r="E412" s="19">
        <v>1</v>
      </c>
      <c r="F412" s="161">
        <v>1</v>
      </c>
      <c r="G412" s="326">
        <f>6*1.5*0.2</f>
        <v>1.8</v>
      </c>
      <c r="H412" s="323">
        <f t="shared" si="21"/>
        <v>5687.6747399999995</v>
      </c>
      <c r="J412"/>
      <c r="L412"/>
    </row>
    <row r="413" spans="1:12" ht="12.75">
      <c r="A413" s="19"/>
      <c r="B413" s="324" t="s">
        <v>638</v>
      </c>
      <c r="C413" s="322" t="s">
        <v>39</v>
      </c>
      <c r="D413" s="323">
        <f>'Lista de recursos'!F15</f>
        <v>2622.4024999999997</v>
      </c>
      <c r="E413" s="19">
        <v>1</v>
      </c>
      <c r="F413" s="161">
        <v>1</v>
      </c>
      <c r="G413" s="326">
        <f>0.02*10</f>
        <v>0.2</v>
      </c>
      <c r="H413" s="323">
        <f t="shared" si="21"/>
        <v>524.4805</v>
      </c>
      <c r="J413"/>
      <c r="L413"/>
    </row>
    <row r="414" spans="1:12" ht="12.75">
      <c r="A414" s="19"/>
      <c r="B414" s="324" t="s">
        <v>636</v>
      </c>
      <c r="C414" s="322"/>
      <c r="D414" s="322"/>
      <c r="E414" s="323"/>
      <c r="F414" s="134"/>
      <c r="G414" s="229"/>
      <c r="H414" s="323">
        <f>SUM(H408:H413)</f>
        <v>15060.22589</v>
      </c>
      <c r="J414"/>
      <c r="L414"/>
    </row>
    <row r="415" spans="1:12" ht="14.25" customHeight="1">
      <c r="A415" s="24"/>
      <c r="B415" s="327"/>
      <c r="C415" s="322"/>
      <c r="D415" s="322"/>
      <c r="E415" s="323"/>
      <c r="F415" s="29"/>
      <c r="G415" s="328" t="s">
        <v>14</v>
      </c>
      <c r="H415" s="329">
        <f>+H414/6</f>
        <v>2510.0376483333334</v>
      </c>
      <c r="J415"/>
      <c r="L415"/>
    </row>
    <row r="416" spans="1:12" ht="25.5">
      <c r="A416" s="19"/>
      <c r="B416" s="315" t="s">
        <v>442</v>
      </c>
      <c r="C416" s="162"/>
      <c r="D416" s="225"/>
      <c r="E416" s="161"/>
      <c r="F416" s="19"/>
      <c r="G416" s="229"/>
      <c r="H416" s="232"/>
      <c r="J416"/>
      <c r="L416"/>
    </row>
    <row r="417" spans="1:12" ht="12.75">
      <c r="A417" s="19"/>
      <c r="B417" s="316" t="s">
        <v>442</v>
      </c>
      <c r="C417" s="317" t="s">
        <v>15</v>
      </c>
      <c r="D417" s="244">
        <v>2705.2856</v>
      </c>
      <c r="E417" s="19">
        <v>1</v>
      </c>
      <c r="F417" s="161">
        <v>1</v>
      </c>
      <c r="G417" s="320">
        <v>1</v>
      </c>
      <c r="H417" s="230">
        <f>ROUND(D417*E417*F417*G417,2)</f>
        <v>2705.29</v>
      </c>
      <c r="J417"/>
      <c r="L417"/>
    </row>
    <row r="418" spans="1:12" ht="12.75">
      <c r="A418" s="19"/>
      <c r="B418" s="19"/>
      <c r="C418" s="19"/>
      <c r="D418" s="330"/>
      <c r="E418" s="19"/>
      <c r="F418" s="19"/>
      <c r="G418" s="229"/>
      <c r="H418" s="232">
        <f>SUM(H417)</f>
        <v>2705.29</v>
      </c>
      <c r="J418"/>
      <c r="L418"/>
    </row>
    <row r="419" spans="1:12" ht="25.5">
      <c r="A419" s="19"/>
      <c r="B419" s="331" t="s">
        <v>443</v>
      </c>
      <c r="C419" s="19"/>
      <c r="D419" s="330"/>
      <c r="E419" s="19"/>
      <c r="F419" s="19"/>
      <c r="G419" s="229"/>
      <c r="H419" s="232"/>
      <c r="J419"/>
      <c r="L419"/>
    </row>
    <row r="420" spans="1:12" ht="12.75">
      <c r="A420" s="19"/>
      <c r="B420" s="19" t="s">
        <v>639</v>
      </c>
      <c r="C420" s="27" t="s">
        <v>67</v>
      </c>
      <c r="D420" s="134">
        <v>1255</v>
      </c>
      <c r="E420" s="24">
        <v>1</v>
      </c>
      <c r="F420" s="29">
        <v>1</v>
      </c>
      <c r="G420" s="25">
        <f>1/18.1</f>
        <v>0.055248618784530384</v>
      </c>
      <c r="H420" s="23">
        <f>PRODUCT(D420:G420)</f>
        <v>69.33701657458563</v>
      </c>
      <c r="J420"/>
      <c r="L420"/>
    </row>
    <row r="421" spans="1:12" ht="12.75">
      <c r="A421" s="19"/>
      <c r="B421" s="19" t="s">
        <v>221</v>
      </c>
      <c r="C421" s="22" t="s">
        <v>8</v>
      </c>
      <c r="D421" s="23">
        <f>'Lista de recursos'!F210</f>
        <v>40.445499999999996</v>
      </c>
      <c r="E421" s="24">
        <v>1</v>
      </c>
      <c r="F421" s="29">
        <v>1</v>
      </c>
      <c r="G421" s="25">
        <f>1/2.5</f>
        <v>0.4</v>
      </c>
      <c r="H421" s="23">
        <f>PRODUCT(D421:G421)</f>
        <v>16.1782</v>
      </c>
      <c r="J421"/>
      <c r="L421"/>
    </row>
    <row r="422" spans="1:12" ht="12.75">
      <c r="A422" s="19"/>
      <c r="B422" s="19"/>
      <c r="C422" s="19"/>
      <c r="D422" s="330"/>
      <c r="E422" s="19"/>
      <c r="F422" s="19"/>
      <c r="G422" s="229"/>
      <c r="H422" s="232">
        <f>SUM(H420:H421)</f>
        <v>85.51521657458564</v>
      </c>
      <c r="J422"/>
      <c r="L422"/>
    </row>
    <row r="423" spans="1:9" ht="63.75">
      <c r="A423" s="19"/>
      <c r="B423" s="236" t="s">
        <v>601</v>
      </c>
      <c r="C423" s="21"/>
      <c r="D423" s="22"/>
      <c r="E423" s="237"/>
      <c r="F423" s="24"/>
      <c r="G423" s="24"/>
      <c r="H423" s="238"/>
      <c r="I423" s="160"/>
    </row>
    <row r="424" spans="1:8" ht="12.75">
      <c r="A424" s="19"/>
      <c r="B424" s="21" t="s">
        <v>603</v>
      </c>
      <c r="C424" s="22" t="s">
        <v>15</v>
      </c>
      <c r="D424" s="237">
        <v>6500</v>
      </c>
      <c r="E424" s="24">
        <v>1</v>
      </c>
      <c r="F424" s="24">
        <v>1</v>
      </c>
      <c r="G424" s="238">
        <v>1</v>
      </c>
      <c r="H424" s="238">
        <f>PRODUCT(D424:G424)</f>
        <v>6500</v>
      </c>
    </row>
    <row r="425" spans="1:8" ht="12.75">
      <c r="A425" s="19"/>
      <c r="B425" s="21" t="s">
        <v>602</v>
      </c>
      <c r="C425" s="22" t="s">
        <v>15</v>
      </c>
      <c r="D425" s="237">
        <v>1161.5</v>
      </c>
      <c r="E425" s="24">
        <v>1</v>
      </c>
      <c r="F425" s="24">
        <v>1</v>
      </c>
      <c r="G425" s="238">
        <v>1</v>
      </c>
      <c r="H425" s="238">
        <f>PRODUCT(D425:G425)</f>
        <v>1161.5</v>
      </c>
    </row>
    <row r="426" spans="1:8" ht="12.75">
      <c r="A426" s="19"/>
      <c r="B426" s="19" t="s">
        <v>600</v>
      </c>
      <c r="C426" s="22" t="s">
        <v>15</v>
      </c>
      <c r="D426" s="237">
        <f>SUM(H424:H425)*0.15</f>
        <v>1149.225</v>
      </c>
      <c r="E426" s="24">
        <v>1</v>
      </c>
      <c r="F426" s="24">
        <v>1</v>
      </c>
      <c r="G426" s="238">
        <v>1</v>
      </c>
      <c r="H426" s="238">
        <f>PRODUCT(D426:G426)</f>
        <v>1149.225</v>
      </c>
    </row>
    <row r="427" spans="1:8" ht="12.75">
      <c r="A427" s="19"/>
      <c r="B427" s="239"/>
      <c r="C427" s="22"/>
      <c r="D427" s="237"/>
      <c r="E427" s="24"/>
      <c r="F427" s="24"/>
      <c r="G427" s="238"/>
      <c r="H427" s="240">
        <f>SUM(H424:H425)</f>
        <v>7661.5</v>
      </c>
    </row>
    <row r="428" spans="1:8" ht="12.75">
      <c r="A428" s="19"/>
      <c r="B428" s="175" t="s">
        <v>280</v>
      </c>
      <c r="C428" s="22"/>
      <c r="D428" s="23"/>
      <c r="E428" s="24"/>
      <c r="F428" s="29"/>
      <c r="G428" s="25"/>
      <c r="H428" s="23"/>
    </row>
    <row r="429" spans="1:8" ht="12.75">
      <c r="A429" s="24"/>
      <c r="B429" s="21" t="s">
        <v>677</v>
      </c>
      <c r="C429" s="22" t="s">
        <v>15</v>
      </c>
      <c r="D429" s="23">
        <v>1450</v>
      </c>
      <c r="E429" s="24">
        <v>1</v>
      </c>
      <c r="F429" s="29">
        <v>1</v>
      </c>
      <c r="G429" s="25">
        <v>1</v>
      </c>
      <c r="H429" s="23">
        <f aca="true" t="shared" si="22" ref="H429:H437">PRODUCT(D429:G429)</f>
        <v>1450</v>
      </c>
    </row>
    <row r="430" spans="1:8" ht="12.75">
      <c r="A430" s="24"/>
      <c r="B430" s="21" t="s">
        <v>265</v>
      </c>
      <c r="C430" s="22" t="s">
        <v>120</v>
      </c>
      <c r="D430" s="23">
        <f>'Lista de recursos'!D33</f>
        <v>190.04237288135593</v>
      </c>
      <c r="E430" s="24">
        <v>1</v>
      </c>
      <c r="F430" s="29">
        <v>1</v>
      </c>
      <c r="G430" s="25">
        <v>1.5</v>
      </c>
      <c r="H430" s="23">
        <f t="shared" si="22"/>
        <v>285.0635593220339</v>
      </c>
    </row>
    <row r="431" spans="1:8" ht="12.75">
      <c r="A431" s="24"/>
      <c r="B431" s="164" t="s">
        <v>271</v>
      </c>
      <c r="C431" s="22" t="s">
        <v>121</v>
      </c>
      <c r="D431" s="23">
        <f>'Lista de recursos'!F38</f>
        <v>270.683205</v>
      </c>
      <c r="E431" s="24">
        <v>1</v>
      </c>
      <c r="F431" s="29">
        <v>1</v>
      </c>
      <c r="G431" s="25">
        <v>20.849</v>
      </c>
      <c r="H431" s="23">
        <f t="shared" si="22"/>
        <v>5643.474141045</v>
      </c>
    </row>
    <row r="432" spans="1:8" ht="12.75">
      <c r="A432" s="24"/>
      <c r="B432" s="21" t="s">
        <v>268</v>
      </c>
      <c r="C432" s="22" t="s">
        <v>122</v>
      </c>
      <c r="D432" s="23">
        <f>'Lista de recursos'!F40/1.493</f>
        <v>500.6697923643669</v>
      </c>
      <c r="E432" s="24">
        <v>1</v>
      </c>
      <c r="F432" s="29">
        <v>1</v>
      </c>
      <c r="G432" s="25">
        <v>20.1212</v>
      </c>
      <c r="H432" s="23">
        <f t="shared" si="22"/>
        <v>10074.0770261219</v>
      </c>
    </row>
    <row r="433" spans="1:8" ht="12.75">
      <c r="A433" s="24"/>
      <c r="B433" s="21" t="s">
        <v>126</v>
      </c>
      <c r="C433" s="22" t="s">
        <v>15</v>
      </c>
      <c r="D433" s="23">
        <f>'Lista de recursos'!F44</f>
        <v>1.282365</v>
      </c>
      <c r="E433" s="24">
        <v>1</v>
      </c>
      <c r="F433" s="29">
        <v>1</v>
      </c>
      <c r="G433" s="25">
        <v>8</v>
      </c>
      <c r="H433" s="23">
        <f>PRODUCT(D433:G433)</f>
        <v>10.25892</v>
      </c>
    </row>
    <row r="434" spans="1:8" ht="12.75">
      <c r="A434" s="24"/>
      <c r="B434" s="21" t="s">
        <v>127</v>
      </c>
      <c r="C434" s="22" t="s">
        <v>15</v>
      </c>
      <c r="D434" s="23">
        <f>'Lista de recursos'!F45</f>
        <v>0.8547949999999999</v>
      </c>
      <c r="E434" s="24">
        <v>1</v>
      </c>
      <c r="F434" s="29">
        <v>1</v>
      </c>
      <c r="G434" s="25">
        <v>8</v>
      </c>
      <c r="H434" s="23">
        <f>PRODUCT(D434:G434)</f>
        <v>6.838359999999999</v>
      </c>
    </row>
    <row r="435" spans="1:8" ht="12.75">
      <c r="A435" s="24"/>
      <c r="B435" s="21" t="s">
        <v>123</v>
      </c>
      <c r="C435" s="22" t="s">
        <v>15</v>
      </c>
      <c r="D435" s="23">
        <f>'Lista de recursos'!F200</f>
        <v>690</v>
      </c>
      <c r="E435" s="24">
        <v>1</v>
      </c>
      <c r="F435" s="29">
        <v>1</v>
      </c>
      <c r="G435" s="25">
        <v>1</v>
      </c>
      <c r="H435" s="23">
        <f t="shared" si="22"/>
        <v>690</v>
      </c>
    </row>
    <row r="436" spans="1:8" ht="12.75">
      <c r="A436" s="24"/>
      <c r="B436" s="21" t="s">
        <v>124</v>
      </c>
      <c r="C436" s="22" t="s">
        <v>14</v>
      </c>
      <c r="D436" s="23">
        <f>'Lista de recursos'!F201</f>
        <v>49.0452</v>
      </c>
      <c r="E436" s="24">
        <v>1</v>
      </c>
      <c r="F436" s="29">
        <v>1</v>
      </c>
      <c r="G436" s="25">
        <v>6.35</v>
      </c>
      <c r="H436" s="23">
        <f t="shared" si="22"/>
        <v>311.43702</v>
      </c>
    </row>
    <row r="437" spans="1:8" ht="12.75">
      <c r="A437" s="24"/>
      <c r="B437" s="21" t="s">
        <v>125</v>
      </c>
      <c r="C437" s="22" t="s">
        <v>32</v>
      </c>
      <c r="D437" s="23">
        <f>'Lista de recursos'!F202</f>
        <v>575</v>
      </c>
      <c r="E437" s="24">
        <v>1</v>
      </c>
      <c r="F437" s="29">
        <v>1</v>
      </c>
      <c r="G437" s="25">
        <v>1</v>
      </c>
      <c r="H437" s="23">
        <f t="shared" si="22"/>
        <v>575</v>
      </c>
    </row>
    <row r="438" spans="1:8" ht="12.75">
      <c r="A438" s="24"/>
      <c r="B438" s="21"/>
      <c r="C438" s="22"/>
      <c r="D438" s="23"/>
      <c r="E438" s="24"/>
      <c r="F438" s="29"/>
      <c r="G438" s="25" t="s">
        <v>274</v>
      </c>
      <c r="H438" s="23">
        <f>SUM(H429:H437)</f>
        <v>19046.149026488936</v>
      </c>
    </row>
    <row r="439" spans="1:8" ht="12.75">
      <c r="A439" s="24"/>
      <c r="B439" s="21"/>
      <c r="C439" s="22"/>
      <c r="D439" s="23"/>
      <c r="E439" s="24"/>
      <c r="F439" s="29"/>
      <c r="G439" s="25" t="s">
        <v>676</v>
      </c>
      <c r="H439" s="23">
        <f>H438/G432</f>
        <v>946.5712296726306</v>
      </c>
    </row>
    <row r="440" spans="1:10" ht="12.75">
      <c r="A440" s="19"/>
      <c r="B440" s="26" t="s">
        <v>329</v>
      </c>
      <c r="C440" s="27"/>
      <c r="D440" s="20"/>
      <c r="E440" s="19"/>
      <c r="F440" s="134"/>
      <c r="G440" s="135"/>
      <c r="H440" s="20"/>
      <c r="J440" s="64">
        <v>946.57335</v>
      </c>
    </row>
    <row r="441" spans="1:12" ht="12.75">
      <c r="A441" s="24"/>
      <c r="B441" s="65" t="s">
        <v>355</v>
      </c>
      <c r="C441" s="27" t="s">
        <v>13</v>
      </c>
      <c r="D441" s="20">
        <f>'Lista de recursos'!F172</f>
        <v>391.07</v>
      </c>
      <c r="E441" s="19">
        <v>1</v>
      </c>
      <c r="F441" s="134">
        <v>1</v>
      </c>
      <c r="G441" s="135">
        <v>1</v>
      </c>
      <c r="H441" s="20">
        <f aca="true" t="shared" si="23" ref="H441:H446">PRODUCT(D441:G441)</f>
        <v>391.07</v>
      </c>
      <c r="J441"/>
      <c r="L441"/>
    </row>
    <row r="442" spans="1:12" ht="12.75">
      <c r="A442" s="24"/>
      <c r="B442" s="65" t="s">
        <v>143</v>
      </c>
      <c r="C442" s="27" t="s">
        <v>103</v>
      </c>
      <c r="D442" s="20">
        <v>65</v>
      </c>
      <c r="E442" s="19">
        <v>1</v>
      </c>
      <c r="F442" s="134">
        <v>1</v>
      </c>
      <c r="G442" s="135">
        <v>0.05</v>
      </c>
      <c r="H442" s="20">
        <f t="shared" si="23"/>
        <v>3.25</v>
      </c>
      <c r="J442"/>
      <c r="L442"/>
    </row>
    <row r="443" spans="1:12" ht="12.75">
      <c r="A443" s="24"/>
      <c r="B443" s="65" t="s">
        <v>83</v>
      </c>
      <c r="C443" s="27" t="s">
        <v>7</v>
      </c>
      <c r="D443" s="20">
        <f>D302</f>
        <v>5095.312939318645</v>
      </c>
      <c r="E443" s="19">
        <v>1</v>
      </c>
      <c r="F443" s="134">
        <v>1</v>
      </c>
      <c r="G443" s="135">
        <v>0.02</v>
      </c>
      <c r="H443" s="20">
        <f t="shared" si="23"/>
        <v>101.90625878637289</v>
      </c>
      <c r="J443"/>
      <c r="L443"/>
    </row>
    <row r="444" spans="1:12" ht="12.75">
      <c r="A444" s="24"/>
      <c r="B444" s="65" t="s">
        <v>356</v>
      </c>
      <c r="C444" s="27" t="s">
        <v>13</v>
      </c>
      <c r="D444" s="20">
        <f>'Lista de recursos'!F75</f>
        <v>568.753</v>
      </c>
      <c r="E444" s="19">
        <v>1</v>
      </c>
      <c r="F444" s="134">
        <v>1.05</v>
      </c>
      <c r="G444" s="135">
        <v>1</v>
      </c>
      <c r="H444" s="20">
        <f t="shared" si="23"/>
        <v>597.1906500000001</v>
      </c>
      <c r="J444" s="143"/>
      <c r="L444"/>
    </row>
    <row r="445" spans="1:12" ht="12.75">
      <c r="A445" s="19"/>
      <c r="B445" s="65" t="s">
        <v>112</v>
      </c>
      <c r="C445" s="27" t="s">
        <v>15</v>
      </c>
      <c r="D445" s="20">
        <f>'Lista de recursos'!F213</f>
        <v>4.962825</v>
      </c>
      <c r="E445" s="19">
        <v>1</v>
      </c>
      <c r="F445" s="134">
        <v>1</v>
      </c>
      <c r="G445" s="135">
        <v>5</v>
      </c>
      <c r="H445" s="20">
        <f t="shared" si="23"/>
        <v>24.814124999999997</v>
      </c>
      <c r="J445" s="143"/>
      <c r="L445"/>
    </row>
    <row r="446" spans="1:12" ht="12.75">
      <c r="A446" s="24"/>
      <c r="B446" s="65" t="s">
        <v>113</v>
      </c>
      <c r="C446" s="27" t="s">
        <v>65</v>
      </c>
      <c r="D446" s="20">
        <f>'Lista de recursos'!F29</f>
        <v>612.5990199999999</v>
      </c>
      <c r="E446" s="19">
        <v>1</v>
      </c>
      <c r="F446" s="134">
        <v>1</v>
      </c>
      <c r="G446" s="135">
        <v>0.03</v>
      </c>
      <c r="H446" s="20">
        <f t="shared" si="23"/>
        <v>18.377970599999994</v>
      </c>
      <c r="J446" s="143"/>
      <c r="L446"/>
    </row>
    <row r="447" spans="1:12" ht="12.75">
      <c r="A447" s="24"/>
      <c r="B447" s="65"/>
      <c r="C447" s="27"/>
      <c r="D447" s="20"/>
      <c r="E447" s="19"/>
      <c r="F447" s="134"/>
      <c r="G447" s="135"/>
      <c r="H447" s="20">
        <f>SUM(H441:H446)</f>
        <v>1136.609004386373</v>
      </c>
      <c r="J447"/>
      <c r="L447"/>
    </row>
    <row r="448" spans="1:12" ht="12.75">
      <c r="A448" s="19"/>
      <c r="B448" s="175" t="s">
        <v>30</v>
      </c>
      <c r="C448" s="22"/>
      <c r="D448" s="23"/>
      <c r="E448" s="24"/>
      <c r="F448" s="29"/>
      <c r="G448" s="25"/>
      <c r="H448" s="23"/>
      <c r="J448"/>
      <c r="L448"/>
    </row>
    <row r="449" spans="1:12" ht="12.75">
      <c r="A449" s="24"/>
      <c r="B449" s="21" t="s">
        <v>233</v>
      </c>
      <c r="C449" s="22" t="s">
        <v>8</v>
      </c>
      <c r="D449" s="23">
        <f>'Lista de recursos'!F165</f>
        <v>103.21</v>
      </c>
      <c r="E449" s="24">
        <v>1</v>
      </c>
      <c r="F449" s="29">
        <v>1</v>
      </c>
      <c r="G449" s="25">
        <v>1</v>
      </c>
      <c r="H449" s="23">
        <f>PRODUCT(D449:G449)</f>
        <v>103.21</v>
      </c>
      <c r="J449"/>
      <c r="L449"/>
    </row>
    <row r="450" spans="1:12" ht="12.75">
      <c r="A450" s="24"/>
      <c r="B450" s="21" t="s">
        <v>234</v>
      </c>
      <c r="C450" s="22" t="s">
        <v>7</v>
      </c>
      <c r="D450" s="23">
        <f>'Lista de recursos'!F182</f>
        <v>145.96811999999997</v>
      </c>
      <c r="E450" s="24">
        <v>1</v>
      </c>
      <c r="F450" s="29">
        <v>1</v>
      </c>
      <c r="G450" s="25">
        <v>0.068</v>
      </c>
      <c r="H450" s="23">
        <f>PRODUCT(D450:G450)</f>
        <v>9.925832159999999</v>
      </c>
      <c r="J450"/>
      <c r="L450"/>
    </row>
    <row r="451" spans="1:12" ht="12.75">
      <c r="A451" s="24"/>
      <c r="B451" s="21" t="s">
        <v>235</v>
      </c>
      <c r="C451" s="22" t="s">
        <v>65</v>
      </c>
      <c r="D451" s="23">
        <f>'Lista de recursos'!F183</f>
        <v>7.590344999999999</v>
      </c>
      <c r="E451" s="24">
        <v>1</v>
      </c>
      <c r="F451" s="29">
        <v>1</v>
      </c>
      <c r="G451" s="25">
        <v>0.7</v>
      </c>
      <c r="H451" s="23">
        <f>PRODUCT(D451:G451)</f>
        <v>5.313241499999999</v>
      </c>
      <c r="J451"/>
      <c r="L451"/>
    </row>
    <row r="452" spans="1:12" ht="12.75">
      <c r="A452" s="24"/>
      <c r="B452" s="21" t="s">
        <v>101</v>
      </c>
      <c r="C452" s="22" t="s">
        <v>92</v>
      </c>
      <c r="D452" s="23">
        <f>'Lista de recursos'!D58</f>
        <v>50.847457627118644</v>
      </c>
      <c r="E452" s="24">
        <v>1</v>
      </c>
      <c r="F452" s="29">
        <v>1</v>
      </c>
      <c r="G452" s="25">
        <v>0.3333</v>
      </c>
      <c r="H452" s="23">
        <f>PRODUCT(D452:G452)</f>
        <v>16.94745762711864</v>
      </c>
      <c r="J452"/>
      <c r="L452"/>
    </row>
    <row r="453" spans="1:12" ht="12.75">
      <c r="A453" s="24"/>
      <c r="B453" s="21" t="s">
        <v>78</v>
      </c>
      <c r="C453" s="22" t="s">
        <v>7</v>
      </c>
      <c r="D453" s="23">
        <f>H221</f>
        <v>4298.810191199999</v>
      </c>
      <c r="E453" s="24">
        <v>1</v>
      </c>
      <c r="F453" s="29">
        <v>1</v>
      </c>
      <c r="G453" s="25">
        <v>0.0759</v>
      </c>
      <c r="H453" s="23">
        <f>PRODUCT(D453:G453)</f>
        <v>326.2796935120799</v>
      </c>
      <c r="J453"/>
      <c r="L453"/>
    </row>
    <row r="454" spans="1:12" ht="12.75">
      <c r="A454" s="24"/>
      <c r="B454" s="21"/>
      <c r="C454" s="22"/>
      <c r="D454" s="23"/>
      <c r="E454" s="24"/>
      <c r="F454" s="29"/>
      <c r="G454" s="25"/>
      <c r="H454" s="23">
        <f>SUM(H449:H453)</f>
        <v>461.67622479919856</v>
      </c>
      <c r="J454"/>
      <c r="L454"/>
    </row>
    <row r="455" spans="1:12" ht="12.75">
      <c r="A455" s="19"/>
      <c r="B455" s="175" t="s">
        <v>31</v>
      </c>
      <c r="C455" s="22"/>
      <c r="D455" s="23"/>
      <c r="E455" s="24"/>
      <c r="F455" s="29"/>
      <c r="G455" s="25"/>
      <c r="H455" s="23"/>
      <c r="J455"/>
      <c r="L455"/>
    </row>
    <row r="456" spans="1:12" ht="12.75">
      <c r="A456" s="24"/>
      <c r="B456" s="21" t="s">
        <v>236</v>
      </c>
      <c r="C456" s="22" t="s">
        <v>12</v>
      </c>
      <c r="D456" s="23">
        <f>'Lista de recursos'!F163</f>
        <v>55.06</v>
      </c>
      <c r="E456" s="24">
        <v>1</v>
      </c>
      <c r="F456" s="29">
        <v>1</v>
      </c>
      <c r="G456" s="25">
        <v>1</v>
      </c>
      <c r="H456" s="23">
        <f>PRODUCT(D456:G456)</f>
        <v>55.06</v>
      </c>
      <c r="J456"/>
      <c r="L456"/>
    </row>
    <row r="457" spans="1:12" ht="12.75">
      <c r="A457" s="24"/>
      <c r="B457" s="21" t="s">
        <v>234</v>
      </c>
      <c r="C457" s="22" t="s">
        <v>7</v>
      </c>
      <c r="D457" s="23">
        <f>D450</f>
        <v>145.96811999999997</v>
      </c>
      <c r="E457" s="24">
        <v>1</v>
      </c>
      <c r="F457" s="29">
        <v>1</v>
      </c>
      <c r="G457" s="25">
        <v>0.0105</v>
      </c>
      <c r="H457" s="23">
        <f>PRODUCT(D457:G457)</f>
        <v>1.5326652599999997</v>
      </c>
      <c r="J457"/>
      <c r="L457"/>
    </row>
    <row r="458" spans="1:12" ht="12.75">
      <c r="A458" s="24"/>
      <c r="B458" s="21" t="s">
        <v>235</v>
      </c>
      <c r="C458" s="22" t="s">
        <v>65</v>
      </c>
      <c r="D458" s="23">
        <f>D451</f>
        <v>7.590344999999999</v>
      </c>
      <c r="E458" s="24">
        <v>1</v>
      </c>
      <c r="F458" s="29">
        <v>1</v>
      </c>
      <c r="G458" s="25">
        <v>0.2</v>
      </c>
      <c r="H458" s="23">
        <f>PRODUCT(D458:G458)</f>
        <v>1.518069</v>
      </c>
      <c r="J458"/>
      <c r="L458"/>
    </row>
    <row r="459" spans="1:10" ht="12.75">
      <c r="A459" s="24"/>
      <c r="B459" s="21" t="s">
        <v>78</v>
      </c>
      <c r="C459" s="22" t="s">
        <v>7</v>
      </c>
      <c r="D459" s="23">
        <f>D453</f>
        <v>4298.810191199999</v>
      </c>
      <c r="E459" s="24">
        <v>1</v>
      </c>
      <c r="F459" s="29">
        <v>1</v>
      </c>
      <c r="G459" s="25">
        <v>0.0211</v>
      </c>
      <c r="H459" s="23">
        <f>PRODUCT(D459:G459)</f>
        <v>90.70489503431999</v>
      </c>
      <c r="J459"/>
    </row>
    <row r="460" spans="1:10" ht="12.75">
      <c r="A460" s="24"/>
      <c r="B460" s="21"/>
      <c r="C460" s="22"/>
      <c r="D460" s="23"/>
      <c r="E460" s="24"/>
      <c r="F460" s="29"/>
      <c r="G460" s="25"/>
      <c r="H460" s="23">
        <f>SUM(H456:H459)</f>
        <v>148.81562929432</v>
      </c>
      <c r="J460"/>
    </row>
    <row r="461" spans="1:10" ht="12.75">
      <c r="A461" s="24"/>
      <c r="B461" s="26" t="s">
        <v>604</v>
      </c>
      <c r="C461" s="27"/>
      <c r="D461" s="19"/>
      <c r="E461" s="19"/>
      <c r="F461" s="134"/>
      <c r="G461" s="134"/>
      <c r="H461" s="23"/>
      <c r="J461"/>
    </row>
    <row r="462" spans="1:10" ht="12.75">
      <c r="A462" s="24"/>
      <c r="B462" s="19" t="s">
        <v>348</v>
      </c>
      <c r="C462" s="27" t="s">
        <v>15</v>
      </c>
      <c r="D462" s="134">
        <v>75</v>
      </c>
      <c r="E462" s="19">
        <v>1</v>
      </c>
      <c r="F462" s="29">
        <v>1</v>
      </c>
      <c r="G462" s="134">
        <v>0.015</v>
      </c>
      <c r="H462" s="23">
        <f aca="true" t="shared" si="24" ref="H462:H467">PRODUCT(D462:G462)</f>
        <v>1.125</v>
      </c>
      <c r="J462"/>
    </row>
    <row r="463" spans="1:10" ht="12.75">
      <c r="A463" s="24"/>
      <c r="B463" s="19" t="s">
        <v>349</v>
      </c>
      <c r="C463" s="27" t="s">
        <v>15</v>
      </c>
      <c r="D463" s="134">
        <v>375</v>
      </c>
      <c r="E463" s="19">
        <v>1</v>
      </c>
      <c r="F463" s="29">
        <v>1</v>
      </c>
      <c r="G463" s="134">
        <v>0.015</v>
      </c>
      <c r="H463" s="23">
        <f t="shared" si="24"/>
        <v>5.625</v>
      </c>
      <c r="J463"/>
    </row>
    <row r="464" spans="1:10" ht="12.75">
      <c r="A464" s="24"/>
      <c r="B464" s="19" t="s">
        <v>350</v>
      </c>
      <c r="C464" s="27" t="s">
        <v>15</v>
      </c>
      <c r="D464" s="134">
        <v>120</v>
      </c>
      <c r="E464" s="19">
        <v>1</v>
      </c>
      <c r="F464" s="29">
        <v>1</v>
      </c>
      <c r="G464" s="134">
        <v>0.015</v>
      </c>
      <c r="H464" s="23">
        <f t="shared" si="24"/>
        <v>1.7999999999999998</v>
      </c>
      <c r="J464"/>
    </row>
    <row r="465" spans="1:10" ht="12.75">
      <c r="A465" s="24"/>
      <c r="B465" s="19" t="s">
        <v>351</v>
      </c>
      <c r="C465" s="27" t="s">
        <v>15</v>
      </c>
      <c r="D465" s="134">
        <v>60</v>
      </c>
      <c r="E465" s="19">
        <v>1</v>
      </c>
      <c r="F465" s="29">
        <v>1</v>
      </c>
      <c r="G465" s="134">
        <v>0.015</v>
      </c>
      <c r="H465" s="23">
        <f t="shared" si="24"/>
        <v>0.8999999999999999</v>
      </c>
      <c r="J465"/>
    </row>
    <row r="466" spans="1:12" ht="12.75">
      <c r="A466" s="24"/>
      <c r="B466" s="19" t="s">
        <v>604</v>
      </c>
      <c r="C466" s="27" t="s">
        <v>352</v>
      </c>
      <c r="D466" s="134">
        <v>4184</v>
      </c>
      <c r="E466" s="19">
        <v>1</v>
      </c>
      <c r="F466" s="29">
        <v>1</v>
      </c>
      <c r="G466" s="134">
        <v>0.0449</v>
      </c>
      <c r="H466" s="23">
        <f t="shared" si="24"/>
        <v>187.8616</v>
      </c>
      <c r="J466"/>
      <c r="L466"/>
    </row>
    <row r="467" spans="1:12" ht="12.75">
      <c r="A467" s="24"/>
      <c r="B467" s="19" t="s">
        <v>353</v>
      </c>
      <c r="C467" s="27" t="s">
        <v>354</v>
      </c>
      <c r="D467" s="134">
        <v>30</v>
      </c>
      <c r="E467" s="19">
        <v>1</v>
      </c>
      <c r="F467" s="29">
        <v>1</v>
      </c>
      <c r="G467" s="134">
        <v>1</v>
      </c>
      <c r="H467" s="23">
        <f t="shared" si="24"/>
        <v>30</v>
      </c>
      <c r="J467"/>
      <c r="L467"/>
    </row>
    <row r="468" spans="1:12" ht="12.75">
      <c r="A468" s="24"/>
      <c r="B468" s="19"/>
      <c r="C468" s="27"/>
      <c r="D468" s="19"/>
      <c r="E468" s="19"/>
      <c r="F468" s="134"/>
      <c r="G468" s="134"/>
      <c r="H468" s="23">
        <f>SUM(H462:H467)</f>
        <v>227.3116</v>
      </c>
      <c r="J468"/>
      <c r="L468"/>
    </row>
    <row r="469" spans="1:12" ht="12.75">
      <c r="A469" s="19"/>
      <c r="B469" s="175" t="s">
        <v>336</v>
      </c>
      <c r="C469" s="22"/>
      <c r="D469" s="23"/>
      <c r="E469" s="24"/>
      <c r="F469" s="29"/>
      <c r="G469" s="25"/>
      <c r="H469" s="23"/>
      <c r="J469"/>
      <c r="L469"/>
    </row>
    <row r="470" spans="1:12" ht="12.75">
      <c r="A470" s="24"/>
      <c r="B470" s="21" t="s">
        <v>562</v>
      </c>
      <c r="C470" s="22" t="s">
        <v>67</v>
      </c>
      <c r="D470" s="20">
        <v>550</v>
      </c>
      <c r="E470" s="24">
        <v>1</v>
      </c>
      <c r="F470" s="29">
        <v>1</v>
      </c>
      <c r="G470" s="25">
        <v>0.08338</v>
      </c>
      <c r="H470" s="23">
        <f>PRODUCT(D470:G470)</f>
        <v>45.858999999999995</v>
      </c>
      <c r="J470"/>
      <c r="L470"/>
    </row>
    <row r="471" spans="1:12" ht="12.75">
      <c r="A471" s="24"/>
      <c r="B471" s="21" t="s">
        <v>144</v>
      </c>
      <c r="C471" s="22" t="s">
        <v>13</v>
      </c>
      <c r="D471" s="23">
        <f>'Lista de recursos'!F208</f>
        <v>7.006489999999999</v>
      </c>
      <c r="E471" s="24">
        <v>1</v>
      </c>
      <c r="F471" s="29">
        <v>1</v>
      </c>
      <c r="G471" s="25">
        <v>1</v>
      </c>
      <c r="H471" s="23">
        <f>PRODUCT(D471:G471)</f>
        <v>7.006489999999999</v>
      </c>
      <c r="J471"/>
      <c r="L471"/>
    </row>
    <row r="472" spans="1:12" ht="25.5">
      <c r="A472" s="24"/>
      <c r="B472" s="21" t="s">
        <v>145</v>
      </c>
      <c r="C472" s="22" t="s">
        <v>8</v>
      </c>
      <c r="D472" s="23">
        <f>'Lista de recursos'!F210*0.7</f>
        <v>28.311849999999996</v>
      </c>
      <c r="E472" s="24">
        <v>1</v>
      </c>
      <c r="F472" s="29">
        <v>1</v>
      </c>
      <c r="G472" s="25">
        <v>1</v>
      </c>
      <c r="H472" s="23">
        <f>PRODUCT(D472:G472)</f>
        <v>28.311849999999996</v>
      </c>
      <c r="J472"/>
      <c r="L472"/>
    </row>
    <row r="473" spans="1:12" ht="12.75">
      <c r="A473" s="24"/>
      <c r="B473" s="21" t="s">
        <v>146</v>
      </c>
      <c r="C473" s="22" t="s">
        <v>8</v>
      </c>
      <c r="D473" s="23">
        <f>'Lista de recursos'!F212</f>
        <v>6.152499999999999</v>
      </c>
      <c r="E473" s="24">
        <v>1</v>
      </c>
      <c r="F473" s="29">
        <v>1</v>
      </c>
      <c r="G473" s="25">
        <v>1</v>
      </c>
      <c r="H473" s="23">
        <f>PRODUCT(D473:G473)</f>
        <v>6.152499999999999</v>
      </c>
      <c r="J473"/>
      <c r="L473"/>
    </row>
    <row r="474" spans="1:12" ht="12.75">
      <c r="A474" s="24"/>
      <c r="B474" s="21"/>
      <c r="C474" s="22"/>
      <c r="D474" s="23"/>
      <c r="E474" s="24"/>
      <c r="F474" s="29"/>
      <c r="G474" s="25"/>
      <c r="H474" s="23">
        <f>SUM(H470:H473)</f>
        <v>87.32983999999999</v>
      </c>
      <c r="J474"/>
      <c r="L474"/>
    </row>
    <row r="475" spans="1:12" ht="12.75">
      <c r="A475" s="19"/>
      <c r="B475" s="175" t="s">
        <v>19</v>
      </c>
      <c r="C475" s="22"/>
      <c r="D475" s="23"/>
      <c r="E475" s="24"/>
      <c r="F475" s="29"/>
      <c r="G475" s="25"/>
      <c r="H475" s="23"/>
      <c r="J475"/>
      <c r="L475"/>
    </row>
    <row r="476" spans="1:12" ht="12.75">
      <c r="A476" s="24"/>
      <c r="B476" s="21" t="s">
        <v>19</v>
      </c>
      <c r="C476" s="22" t="s">
        <v>67</v>
      </c>
      <c r="D476" s="23">
        <f>'Lista de recursos'!F77</f>
        <v>995</v>
      </c>
      <c r="E476" s="24">
        <v>1</v>
      </c>
      <c r="F476" s="29">
        <v>1</v>
      </c>
      <c r="G476" s="25">
        <v>0.09466</v>
      </c>
      <c r="H476" s="23">
        <f>PRODUCT(D476:G476)</f>
        <v>94.18669999999999</v>
      </c>
      <c r="J476"/>
      <c r="L476"/>
    </row>
    <row r="477" spans="1:12" ht="12.75">
      <c r="A477" s="24"/>
      <c r="B477" s="21" t="s">
        <v>144</v>
      </c>
      <c r="C477" s="22" t="s">
        <v>13</v>
      </c>
      <c r="D477" s="23">
        <f>D471</f>
        <v>7.006489999999999</v>
      </c>
      <c r="E477" s="24">
        <v>1</v>
      </c>
      <c r="F477" s="29">
        <v>1</v>
      </c>
      <c r="G477" s="25">
        <v>1</v>
      </c>
      <c r="H477" s="23">
        <f>PRODUCT(D477:G477)</f>
        <v>7.006489999999999</v>
      </c>
      <c r="J477"/>
      <c r="L477"/>
    </row>
    <row r="478" spans="1:12" ht="25.5">
      <c r="A478" s="24"/>
      <c r="B478" s="21" t="s">
        <v>145</v>
      </c>
      <c r="C478" s="22" t="s">
        <v>8</v>
      </c>
      <c r="D478" s="23">
        <f>'Lista de recursos'!F210</f>
        <v>40.445499999999996</v>
      </c>
      <c r="E478" s="24">
        <v>1</v>
      </c>
      <c r="F478" s="29">
        <v>1</v>
      </c>
      <c r="G478" s="25">
        <v>1</v>
      </c>
      <c r="H478" s="23">
        <f>PRODUCT(D478:G478)</f>
        <v>40.445499999999996</v>
      </c>
      <c r="J478"/>
      <c r="L478"/>
    </row>
    <row r="479" spans="1:12" ht="12.75">
      <c r="A479" s="24"/>
      <c r="B479" s="21" t="s">
        <v>146</v>
      </c>
      <c r="C479" s="22" t="s">
        <v>8</v>
      </c>
      <c r="D479" s="23">
        <f>D473</f>
        <v>6.152499999999999</v>
      </c>
      <c r="E479" s="24">
        <v>1</v>
      </c>
      <c r="F479" s="29">
        <v>1</v>
      </c>
      <c r="G479" s="25">
        <v>1</v>
      </c>
      <c r="H479" s="23">
        <f>PRODUCT(D479:G479)</f>
        <v>6.152499999999999</v>
      </c>
      <c r="J479"/>
      <c r="L479"/>
    </row>
    <row r="480" spans="1:12" ht="15">
      <c r="A480" s="24"/>
      <c r="B480" s="21"/>
      <c r="C480" s="22"/>
      <c r="D480" s="23"/>
      <c r="E480" s="24"/>
      <c r="F480" s="29"/>
      <c r="G480" s="25"/>
      <c r="H480" s="23">
        <f>SUM(H476:H479)</f>
        <v>147.79119</v>
      </c>
      <c r="I480" s="118"/>
      <c r="J480"/>
      <c r="L480"/>
    </row>
    <row r="481" spans="1:12" ht="15">
      <c r="A481" s="19"/>
      <c r="B481" s="175" t="s">
        <v>357</v>
      </c>
      <c r="C481" s="22"/>
      <c r="D481" s="23"/>
      <c r="E481" s="24"/>
      <c r="F481" s="29"/>
      <c r="G481" s="25"/>
      <c r="H481" s="23"/>
      <c r="I481" s="118"/>
      <c r="J481"/>
      <c r="L481"/>
    </row>
    <row r="482" spans="1:12" ht="12.75">
      <c r="A482" s="24"/>
      <c r="B482" s="21" t="s">
        <v>152</v>
      </c>
      <c r="C482" s="22" t="s">
        <v>67</v>
      </c>
      <c r="D482" s="23">
        <f>'Lista de recursos'!D81</f>
        <v>402.54237288135596</v>
      </c>
      <c r="E482" s="24">
        <v>1</v>
      </c>
      <c r="F482" s="29">
        <v>1</v>
      </c>
      <c r="G482" s="25">
        <v>0.1</v>
      </c>
      <c r="H482" s="23">
        <f>PRODUCT(D482:G482)</f>
        <v>40.2542372881356</v>
      </c>
      <c r="J482"/>
      <c r="L482"/>
    </row>
    <row r="483" spans="1:12" ht="12.75">
      <c r="A483" s="24"/>
      <c r="B483" s="21" t="s">
        <v>144</v>
      </c>
      <c r="C483" s="22" t="s">
        <v>13</v>
      </c>
      <c r="D483" s="23">
        <f>D471</f>
        <v>7.006489999999999</v>
      </c>
      <c r="E483" s="24">
        <v>1</v>
      </c>
      <c r="F483" s="29">
        <v>1</v>
      </c>
      <c r="G483" s="25">
        <v>1</v>
      </c>
      <c r="H483" s="23">
        <f>PRODUCT(D483:G483)</f>
        <v>7.006489999999999</v>
      </c>
      <c r="J483"/>
      <c r="L483"/>
    </row>
    <row r="484" spans="1:12" ht="12.75">
      <c r="A484" s="24"/>
      <c r="B484" s="21" t="s">
        <v>357</v>
      </c>
      <c r="C484" s="22" t="s">
        <v>149</v>
      </c>
      <c r="D484" s="23">
        <f>'Lista de recursos'!F79</f>
        <v>632.5</v>
      </c>
      <c r="E484" s="24">
        <v>1</v>
      </c>
      <c r="F484" s="29">
        <v>1</v>
      </c>
      <c r="G484" s="25">
        <v>0.1</v>
      </c>
      <c r="H484" s="23">
        <f>PRODUCT(D484:G484)</f>
        <v>63.25</v>
      </c>
      <c r="J484"/>
      <c r="L484"/>
    </row>
    <row r="485" spans="1:12" ht="25.5">
      <c r="A485" s="24"/>
      <c r="B485" s="21" t="s">
        <v>150</v>
      </c>
      <c r="C485" s="22" t="s">
        <v>8</v>
      </c>
      <c r="D485" s="23">
        <v>35</v>
      </c>
      <c r="E485" s="24">
        <v>1</v>
      </c>
      <c r="F485" s="29">
        <v>1</v>
      </c>
      <c r="G485" s="25">
        <v>1</v>
      </c>
      <c r="H485" s="23">
        <f>PRODUCT(D485:G485)</f>
        <v>35</v>
      </c>
      <c r="J485"/>
      <c r="L485"/>
    </row>
    <row r="486" spans="1:12" ht="12.75">
      <c r="A486" s="24"/>
      <c r="B486" s="21"/>
      <c r="C486" s="22"/>
      <c r="D486" s="23"/>
      <c r="E486" s="24"/>
      <c r="F486" s="29"/>
      <c r="G486" s="25"/>
      <c r="H486" s="23">
        <f>SUM(H482:H485)</f>
        <v>145.5107272881356</v>
      </c>
      <c r="J486"/>
      <c r="L486"/>
    </row>
    <row r="487" spans="1:12" ht="12.75">
      <c r="A487" s="19"/>
      <c r="B487" s="175" t="s">
        <v>421</v>
      </c>
      <c r="C487" s="22"/>
      <c r="D487" s="23"/>
      <c r="E487" s="24"/>
      <c r="F487" s="29"/>
      <c r="G487" s="25"/>
      <c r="H487" s="23"/>
      <c r="J487"/>
      <c r="L487"/>
    </row>
    <row r="488" spans="1:12" ht="12.75">
      <c r="A488" s="24"/>
      <c r="B488" s="21" t="s">
        <v>565</v>
      </c>
      <c r="C488" s="22" t="s">
        <v>21</v>
      </c>
      <c r="D488" s="23">
        <v>1</v>
      </c>
      <c r="E488" s="24">
        <v>1</v>
      </c>
      <c r="F488" s="29">
        <v>1</v>
      </c>
      <c r="G488" s="25">
        <v>51.19</v>
      </c>
      <c r="H488" s="23">
        <f>PRODUCT(D488:G488)</f>
        <v>51.19</v>
      </c>
      <c r="J488"/>
      <c r="L488"/>
    </row>
    <row r="489" spans="1:12" ht="12.75">
      <c r="A489" s="24"/>
      <c r="B489" s="21" t="s">
        <v>564</v>
      </c>
      <c r="C489" s="22" t="s">
        <v>13</v>
      </c>
      <c r="D489" s="23">
        <v>45</v>
      </c>
      <c r="E489" s="24">
        <v>1</v>
      </c>
      <c r="F489" s="29">
        <v>1</v>
      </c>
      <c r="G489" s="25">
        <v>1</v>
      </c>
      <c r="H489" s="23">
        <f>PRODUCT(D489:G489)</f>
        <v>45</v>
      </c>
      <c r="J489"/>
      <c r="L489"/>
    </row>
    <row r="490" spans="1:12" ht="12.75">
      <c r="A490" s="24"/>
      <c r="B490" s="21" t="s">
        <v>146</v>
      </c>
      <c r="C490" s="22" t="s">
        <v>8</v>
      </c>
      <c r="D490" s="23">
        <f>D479</f>
        <v>6.152499999999999</v>
      </c>
      <c r="E490" s="24">
        <v>1</v>
      </c>
      <c r="F490" s="29">
        <v>1</v>
      </c>
      <c r="G490" s="25">
        <v>1</v>
      </c>
      <c r="H490" s="23">
        <f>PRODUCT(D490:G490)</f>
        <v>6.152499999999999</v>
      </c>
      <c r="J490"/>
      <c r="L490"/>
    </row>
    <row r="491" spans="1:12" ht="12.75">
      <c r="A491" s="24"/>
      <c r="B491" s="21"/>
      <c r="C491" s="22"/>
      <c r="D491" s="23"/>
      <c r="E491" s="24"/>
      <c r="F491" s="29"/>
      <c r="G491" s="25"/>
      <c r="H491" s="23">
        <f>SUM(H488:H490)</f>
        <v>102.3425</v>
      </c>
      <c r="J491"/>
      <c r="L491"/>
    </row>
    <row r="492" spans="1:12" ht="12.75">
      <c r="A492" s="19"/>
      <c r="B492" s="175" t="s">
        <v>282</v>
      </c>
      <c r="C492" s="22"/>
      <c r="D492" s="23"/>
      <c r="E492" s="24"/>
      <c r="F492" s="29"/>
      <c r="G492" s="25"/>
      <c r="H492" s="23"/>
      <c r="J492"/>
      <c r="L492"/>
    </row>
    <row r="493" spans="1:12" ht="12.75">
      <c r="A493" s="24"/>
      <c r="B493" s="21" t="s">
        <v>154</v>
      </c>
      <c r="C493" s="22" t="s">
        <v>65</v>
      </c>
      <c r="D493" s="20">
        <f>D508</f>
        <v>612.5990199999999</v>
      </c>
      <c r="E493" s="24">
        <v>1</v>
      </c>
      <c r="F493" s="29">
        <v>1</v>
      </c>
      <c r="G493" s="25">
        <v>0.03</v>
      </c>
      <c r="H493" s="23">
        <f aca="true" t="shared" si="25" ref="H493:H501">PRODUCT(D493:G493)</f>
        <v>18.377970599999994</v>
      </c>
      <c r="J493"/>
      <c r="L493"/>
    </row>
    <row r="494" spans="1:12" ht="12.75">
      <c r="A494" s="24"/>
      <c r="B494" s="21" t="s">
        <v>283</v>
      </c>
      <c r="C494" s="22" t="s">
        <v>15</v>
      </c>
      <c r="D494" s="23">
        <f>3190</f>
        <v>3190</v>
      </c>
      <c r="E494" s="24">
        <v>1</v>
      </c>
      <c r="F494" s="29">
        <v>1</v>
      </c>
      <c r="G494" s="25">
        <v>0.08</v>
      </c>
      <c r="H494" s="23">
        <f t="shared" si="25"/>
        <v>255.20000000000002</v>
      </c>
      <c r="J494"/>
      <c r="L494"/>
    </row>
    <row r="495" spans="1:12" ht="12.75">
      <c r="A495" s="24"/>
      <c r="B495" s="21" t="s">
        <v>153</v>
      </c>
      <c r="C495" s="22" t="s">
        <v>15</v>
      </c>
      <c r="D495" s="23">
        <f>'Lista de recursos'!F103</f>
        <v>3165.338</v>
      </c>
      <c r="E495" s="24">
        <v>1</v>
      </c>
      <c r="F495" s="29">
        <v>1</v>
      </c>
      <c r="G495" s="25">
        <v>1</v>
      </c>
      <c r="H495" s="23">
        <f t="shared" si="25"/>
        <v>3165.338</v>
      </c>
      <c r="J495"/>
      <c r="L495"/>
    </row>
    <row r="496" spans="1:12" ht="12.75">
      <c r="A496" s="24"/>
      <c r="B496" s="21" t="s">
        <v>166</v>
      </c>
      <c r="C496" s="22" t="s">
        <v>15</v>
      </c>
      <c r="D496" s="20">
        <f>D510</f>
        <v>78.35571</v>
      </c>
      <c r="E496" s="24">
        <v>1</v>
      </c>
      <c r="F496" s="29">
        <v>1</v>
      </c>
      <c r="G496" s="25">
        <v>1</v>
      </c>
      <c r="H496" s="23">
        <f t="shared" si="25"/>
        <v>78.35571</v>
      </c>
      <c r="J496"/>
      <c r="L496"/>
    </row>
    <row r="497" spans="1:12" ht="12.75">
      <c r="A497" s="24"/>
      <c r="B497" s="21" t="s">
        <v>167</v>
      </c>
      <c r="C497" s="22" t="s">
        <v>15</v>
      </c>
      <c r="D497" s="20">
        <f>D511</f>
        <v>42.25655508474576</v>
      </c>
      <c r="E497" s="24">
        <v>1</v>
      </c>
      <c r="F497" s="29">
        <v>1</v>
      </c>
      <c r="G497" s="25">
        <v>1</v>
      </c>
      <c r="H497" s="23">
        <f t="shared" si="25"/>
        <v>42.25655508474576</v>
      </c>
      <c r="J497"/>
      <c r="L497"/>
    </row>
    <row r="498" spans="1:12" ht="12.75">
      <c r="A498" s="24"/>
      <c r="B498" s="21" t="s">
        <v>168</v>
      </c>
      <c r="C498" s="22" t="s">
        <v>15</v>
      </c>
      <c r="D498" s="20">
        <f>D512</f>
        <v>35.616305</v>
      </c>
      <c r="E498" s="24">
        <v>1</v>
      </c>
      <c r="F498" s="29">
        <v>1</v>
      </c>
      <c r="G498" s="25">
        <v>1</v>
      </c>
      <c r="H498" s="23">
        <f t="shared" si="25"/>
        <v>35.616305</v>
      </c>
      <c r="J498"/>
      <c r="L498"/>
    </row>
    <row r="499" spans="1:12" ht="12.75">
      <c r="A499" s="24"/>
      <c r="B499" s="21" t="s">
        <v>169</v>
      </c>
      <c r="C499" s="22" t="s">
        <v>15</v>
      </c>
      <c r="D499" s="23">
        <f>'Lista de recursos'!F118</f>
        <v>64.109165</v>
      </c>
      <c r="E499" s="24">
        <v>1</v>
      </c>
      <c r="F499" s="29">
        <v>1</v>
      </c>
      <c r="G499" s="25">
        <v>1</v>
      </c>
      <c r="H499" s="23">
        <f t="shared" si="25"/>
        <v>64.109165</v>
      </c>
      <c r="J499"/>
      <c r="L499"/>
    </row>
    <row r="500" spans="1:12" ht="12.75">
      <c r="A500" s="24"/>
      <c r="B500" s="21" t="s">
        <v>170</v>
      </c>
      <c r="C500" s="22" t="s">
        <v>15</v>
      </c>
      <c r="D500" s="23">
        <f>'Lista de recursos'!F124</f>
        <v>113.97201499999998</v>
      </c>
      <c r="E500" s="24">
        <v>1</v>
      </c>
      <c r="F500" s="29">
        <v>1</v>
      </c>
      <c r="G500" s="25">
        <v>1</v>
      </c>
      <c r="H500" s="23">
        <f t="shared" si="25"/>
        <v>113.97201499999998</v>
      </c>
      <c r="J500"/>
      <c r="L500"/>
    </row>
    <row r="501" spans="1:12" ht="12.75">
      <c r="A501" s="24"/>
      <c r="B501" s="21" t="s">
        <v>171</v>
      </c>
      <c r="C501" s="22" t="s">
        <v>15</v>
      </c>
      <c r="D501" s="20">
        <f>D516</f>
        <v>7.12333</v>
      </c>
      <c r="E501" s="24">
        <v>1</v>
      </c>
      <c r="F501" s="29">
        <v>1</v>
      </c>
      <c r="G501" s="25">
        <v>1</v>
      </c>
      <c r="H501" s="23">
        <f t="shared" si="25"/>
        <v>7.12333</v>
      </c>
      <c r="J501"/>
      <c r="L501"/>
    </row>
    <row r="502" spans="1:12" ht="12.75">
      <c r="A502" s="24"/>
      <c r="B502" s="21" t="s">
        <v>372</v>
      </c>
      <c r="C502" s="22" t="s">
        <v>15</v>
      </c>
      <c r="D502" s="20">
        <v>1235</v>
      </c>
      <c r="E502" s="24">
        <v>1</v>
      </c>
      <c r="F502" s="29">
        <v>1</v>
      </c>
      <c r="G502" s="25">
        <v>1</v>
      </c>
      <c r="H502" s="23">
        <f>PRODUCT(D502:G502)</f>
        <v>1235</v>
      </c>
      <c r="J502"/>
      <c r="L502"/>
    </row>
    <row r="503" spans="1:12" ht="12.75">
      <c r="A503" s="24"/>
      <c r="B503" s="21"/>
      <c r="C503" s="22"/>
      <c r="D503" s="23"/>
      <c r="E503" s="24"/>
      <c r="F503" s="29"/>
      <c r="G503" s="25"/>
      <c r="H503" s="23">
        <f>SUM(H493:H502)</f>
        <v>5015.349050684745</v>
      </c>
      <c r="J503"/>
      <c r="L503"/>
    </row>
    <row r="504" spans="1:12" ht="12.75">
      <c r="A504" s="24"/>
      <c r="B504" s="172" t="s">
        <v>426</v>
      </c>
      <c r="C504" s="22"/>
      <c r="D504" s="23"/>
      <c r="E504" s="24"/>
      <c r="F504" s="29"/>
      <c r="G504" s="25"/>
      <c r="H504" s="23"/>
      <c r="J504"/>
      <c r="L504"/>
    </row>
    <row r="505" spans="1:12" ht="12.75">
      <c r="A505" s="24"/>
      <c r="B505" s="21" t="s">
        <v>341</v>
      </c>
      <c r="C505" s="22" t="s">
        <v>15</v>
      </c>
      <c r="D505" s="23">
        <f>'Lista de recursos'!F109</f>
        <v>2825.8</v>
      </c>
      <c r="E505" s="24">
        <v>1</v>
      </c>
      <c r="F505" s="29">
        <v>1</v>
      </c>
      <c r="G505" s="25">
        <v>1</v>
      </c>
      <c r="H505" s="23">
        <f>PRODUCT(D505:G505)</f>
        <v>2825.8</v>
      </c>
      <c r="J505"/>
      <c r="L505"/>
    </row>
    <row r="506" spans="1:12" ht="12.75">
      <c r="A506" s="24"/>
      <c r="B506" s="21"/>
      <c r="C506" s="22"/>
      <c r="D506" s="23"/>
      <c r="E506" s="24"/>
      <c r="F506" s="29"/>
      <c r="G506" s="25"/>
      <c r="H506" s="23">
        <f>SUM(H505)</f>
        <v>2825.8</v>
      </c>
      <c r="J506"/>
      <c r="L506"/>
    </row>
    <row r="507" spans="1:12" ht="12.75">
      <c r="A507" s="19"/>
      <c r="B507" s="175" t="s">
        <v>425</v>
      </c>
      <c r="C507" s="22"/>
      <c r="D507" s="23"/>
      <c r="E507" s="24"/>
      <c r="F507" s="29"/>
      <c r="G507" s="25"/>
      <c r="H507" s="23"/>
      <c r="J507"/>
      <c r="L507"/>
    </row>
    <row r="508" spans="1:12" ht="12.75">
      <c r="A508" s="24"/>
      <c r="B508" s="21" t="s">
        <v>154</v>
      </c>
      <c r="C508" s="22" t="s">
        <v>65</v>
      </c>
      <c r="D508" s="23">
        <f>'Lista de recursos'!F29</f>
        <v>612.5990199999999</v>
      </c>
      <c r="E508" s="24">
        <v>1</v>
      </c>
      <c r="F508" s="29">
        <v>1</v>
      </c>
      <c r="G508" s="25">
        <v>0.04</v>
      </c>
      <c r="H508" s="23">
        <f aca="true" t="shared" si="26" ref="H508:H516">PRODUCT(D508:G508)</f>
        <v>24.503960799999994</v>
      </c>
      <c r="J508"/>
      <c r="L508"/>
    </row>
    <row r="509" spans="1:12" ht="12.75">
      <c r="A509" s="24"/>
      <c r="B509" s="21" t="s">
        <v>284</v>
      </c>
      <c r="C509" s="22" t="s">
        <v>15</v>
      </c>
      <c r="D509" s="23">
        <f>'Lista de recursos'!F102</f>
        <v>8197.154999999999</v>
      </c>
      <c r="E509" s="24">
        <v>1</v>
      </c>
      <c r="F509" s="29">
        <v>1</v>
      </c>
      <c r="G509" s="25">
        <v>1</v>
      </c>
      <c r="H509" s="23">
        <f t="shared" si="26"/>
        <v>8197.154999999999</v>
      </c>
      <c r="J509"/>
      <c r="L509"/>
    </row>
    <row r="510" spans="1:12" ht="12.75">
      <c r="A510" s="24"/>
      <c r="B510" s="21" t="s">
        <v>166</v>
      </c>
      <c r="C510" s="22" t="s">
        <v>15</v>
      </c>
      <c r="D510" s="23">
        <f>'Lista de recursos'!F107</f>
        <v>78.35571</v>
      </c>
      <c r="E510" s="24">
        <v>1</v>
      </c>
      <c r="F510" s="29">
        <v>1</v>
      </c>
      <c r="G510" s="25">
        <v>2</v>
      </c>
      <c r="H510" s="23">
        <f t="shared" si="26"/>
        <v>156.71142</v>
      </c>
      <c r="J510"/>
      <c r="L510"/>
    </row>
    <row r="511" spans="1:12" ht="12.75">
      <c r="A511" s="24"/>
      <c r="B511" s="21" t="s">
        <v>281</v>
      </c>
      <c r="C511" s="22" t="s">
        <v>15</v>
      </c>
      <c r="D511" s="23">
        <f>'Lista de recursos'!D112</f>
        <v>42.25655508474576</v>
      </c>
      <c r="E511" s="24">
        <v>1</v>
      </c>
      <c r="F511" s="29">
        <v>1</v>
      </c>
      <c r="G511" s="25">
        <v>2</v>
      </c>
      <c r="H511" s="23">
        <f t="shared" si="26"/>
        <v>84.51311016949153</v>
      </c>
      <c r="J511"/>
      <c r="L511"/>
    </row>
    <row r="512" spans="1:12" ht="12.75">
      <c r="A512" s="24"/>
      <c r="B512" s="21" t="s">
        <v>168</v>
      </c>
      <c r="C512" s="22" t="s">
        <v>15</v>
      </c>
      <c r="D512" s="23">
        <f>'Lista de recursos'!F113</f>
        <v>35.616305</v>
      </c>
      <c r="E512" s="24">
        <v>1</v>
      </c>
      <c r="F512" s="29">
        <v>1</v>
      </c>
      <c r="G512" s="25">
        <v>2</v>
      </c>
      <c r="H512" s="23">
        <f t="shared" si="26"/>
        <v>71.23261</v>
      </c>
      <c r="J512"/>
      <c r="L512"/>
    </row>
    <row r="513" spans="1:12" ht="12.75">
      <c r="A513" s="24"/>
      <c r="B513" s="21" t="s">
        <v>175</v>
      </c>
      <c r="C513" s="22" t="s">
        <v>15</v>
      </c>
      <c r="D513" s="23">
        <f>'Lista de recursos'!F114</f>
        <v>32.05464</v>
      </c>
      <c r="E513" s="24">
        <v>1</v>
      </c>
      <c r="F513" s="29">
        <v>1</v>
      </c>
      <c r="G513" s="25">
        <v>1</v>
      </c>
      <c r="H513" s="23">
        <f t="shared" si="26"/>
        <v>32.05464</v>
      </c>
      <c r="J513"/>
      <c r="L513"/>
    </row>
    <row r="514" spans="1:12" ht="12.75">
      <c r="A514" s="24"/>
      <c r="B514" s="21" t="s">
        <v>176</v>
      </c>
      <c r="C514" s="22" t="s">
        <v>15</v>
      </c>
      <c r="D514" s="23">
        <f>'Lista de recursos'!F115</f>
        <v>64.109165</v>
      </c>
      <c r="E514" s="24">
        <v>1</v>
      </c>
      <c r="F514" s="29">
        <v>1</v>
      </c>
      <c r="G514" s="25">
        <v>1</v>
      </c>
      <c r="H514" s="23">
        <f t="shared" si="26"/>
        <v>64.109165</v>
      </c>
      <c r="J514"/>
      <c r="L514"/>
    </row>
    <row r="515" spans="1:12" ht="12.75">
      <c r="A515" s="24"/>
      <c r="B515" s="21" t="s">
        <v>174</v>
      </c>
      <c r="C515" s="22" t="s">
        <v>15</v>
      </c>
      <c r="D515" s="23">
        <f>'Lista de recursos'!F116</f>
        <v>21.36976</v>
      </c>
      <c r="E515" s="24">
        <v>1</v>
      </c>
      <c r="F515" s="29">
        <v>1</v>
      </c>
      <c r="G515" s="25">
        <v>2</v>
      </c>
      <c r="H515" s="23">
        <f t="shared" si="26"/>
        <v>42.73952</v>
      </c>
      <c r="J515"/>
      <c r="L515"/>
    </row>
    <row r="516" spans="1:12" ht="12.75">
      <c r="A516" s="24"/>
      <c r="B516" s="21" t="s">
        <v>171</v>
      </c>
      <c r="C516" s="22" t="s">
        <v>15</v>
      </c>
      <c r="D516" s="23">
        <f>'Lista de recursos'!F131</f>
        <v>7.12333</v>
      </c>
      <c r="E516" s="24">
        <v>1</v>
      </c>
      <c r="F516" s="29">
        <v>1</v>
      </c>
      <c r="G516" s="25">
        <v>2</v>
      </c>
      <c r="H516" s="23">
        <f t="shared" si="26"/>
        <v>14.24666</v>
      </c>
      <c r="J516"/>
      <c r="L516"/>
    </row>
    <row r="517" spans="1:12" ht="12.75">
      <c r="A517" s="24"/>
      <c r="B517" s="21" t="s">
        <v>372</v>
      </c>
      <c r="C517" s="22" t="s">
        <v>15</v>
      </c>
      <c r="D517" s="23">
        <v>1536</v>
      </c>
      <c r="E517" s="24">
        <v>1</v>
      </c>
      <c r="F517" s="29">
        <v>1</v>
      </c>
      <c r="G517" s="25">
        <v>1</v>
      </c>
      <c r="H517" s="23">
        <f>PRODUCT(D517:G517)</f>
        <v>1536</v>
      </c>
      <c r="J517"/>
      <c r="L517"/>
    </row>
    <row r="518" spans="1:12" ht="12.75">
      <c r="A518" s="24"/>
      <c r="B518" s="241"/>
      <c r="C518" s="22"/>
      <c r="D518" s="23"/>
      <c r="E518" s="24"/>
      <c r="F518" s="29"/>
      <c r="G518" s="25"/>
      <c r="H518" s="23">
        <f>SUM(H508:H517)</f>
        <v>10223.26608596949</v>
      </c>
      <c r="J518"/>
      <c r="L518"/>
    </row>
    <row r="519" spans="1:12" ht="12.75">
      <c r="A519" s="24"/>
      <c r="B519" s="175" t="s">
        <v>425</v>
      </c>
      <c r="C519" s="22"/>
      <c r="D519" s="23"/>
      <c r="E519" s="24"/>
      <c r="F519" s="29"/>
      <c r="G519" s="25"/>
      <c r="H519" s="23"/>
      <c r="J519"/>
      <c r="L519"/>
    </row>
    <row r="520" spans="1:12" ht="12.75">
      <c r="A520" s="24"/>
      <c r="B520" s="21" t="s">
        <v>154</v>
      </c>
      <c r="C520" s="22" t="s">
        <v>65</v>
      </c>
      <c r="D520" s="23">
        <f>D508</f>
        <v>612.5990199999999</v>
      </c>
      <c r="E520" s="24">
        <v>1</v>
      </c>
      <c r="F520" s="29">
        <v>1</v>
      </c>
      <c r="G520" s="25">
        <v>0.04</v>
      </c>
      <c r="H520" s="23">
        <f aca="true" t="shared" si="27" ref="H520:H528">PRODUCT(D520:G520)</f>
        <v>24.503960799999994</v>
      </c>
      <c r="J520"/>
      <c r="L520"/>
    </row>
    <row r="521" spans="1:12" ht="12.75">
      <c r="A521" s="24"/>
      <c r="B521" s="21" t="s">
        <v>284</v>
      </c>
      <c r="C521" s="22" t="s">
        <v>15</v>
      </c>
      <c r="D521" s="23">
        <f>3997.155+25</f>
        <v>4022.155</v>
      </c>
      <c r="E521" s="24">
        <v>1</v>
      </c>
      <c r="F521" s="29">
        <v>1</v>
      </c>
      <c r="G521" s="25">
        <v>1</v>
      </c>
      <c r="H521" s="23">
        <f t="shared" si="27"/>
        <v>4022.155</v>
      </c>
      <c r="J521"/>
      <c r="L521"/>
    </row>
    <row r="522" spans="1:12" ht="12.75">
      <c r="A522" s="24"/>
      <c r="B522" s="21" t="s">
        <v>166</v>
      </c>
      <c r="C522" s="22" t="s">
        <v>15</v>
      </c>
      <c r="D522" s="23">
        <f aca="true" t="shared" si="28" ref="D522:D529">D510</f>
        <v>78.35571</v>
      </c>
      <c r="E522" s="24">
        <v>1</v>
      </c>
      <c r="F522" s="29">
        <v>1</v>
      </c>
      <c r="G522" s="25">
        <v>2</v>
      </c>
      <c r="H522" s="23">
        <f t="shared" si="27"/>
        <v>156.71142</v>
      </c>
      <c r="J522"/>
      <c r="L522"/>
    </row>
    <row r="523" spans="1:12" ht="12.75">
      <c r="A523" s="24"/>
      <c r="B523" s="21" t="s">
        <v>281</v>
      </c>
      <c r="C523" s="22" t="s">
        <v>15</v>
      </c>
      <c r="D523" s="23">
        <f t="shared" si="28"/>
        <v>42.25655508474576</v>
      </c>
      <c r="E523" s="24">
        <v>1</v>
      </c>
      <c r="F523" s="29">
        <v>1</v>
      </c>
      <c r="G523" s="25">
        <v>2</v>
      </c>
      <c r="H523" s="23">
        <f t="shared" si="27"/>
        <v>84.51311016949153</v>
      </c>
      <c r="J523"/>
      <c r="L523"/>
    </row>
    <row r="524" spans="1:12" ht="12.75">
      <c r="A524" s="24"/>
      <c r="B524" s="21" t="s">
        <v>168</v>
      </c>
      <c r="C524" s="22" t="s">
        <v>15</v>
      </c>
      <c r="D524" s="23">
        <f t="shared" si="28"/>
        <v>35.616305</v>
      </c>
      <c r="E524" s="24">
        <v>1</v>
      </c>
      <c r="F524" s="29">
        <v>1</v>
      </c>
      <c r="G524" s="25">
        <v>2</v>
      </c>
      <c r="H524" s="23">
        <f t="shared" si="27"/>
        <v>71.23261</v>
      </c>
      <c r="J524"/>
      <c r="L524"/>
    </row>
    <row r="525" spans="1:12" ht="12.75">
      <c r="A525" s="24"/>
      <c r="B525" s="21" t="s">
        <v>175</v>
      </c>
      <c r="C525" s="22" t="s">
        <v>15</v>
      </c>
      <c r="D525" s="23">
        <f t="shared" si="28"/>
        <v>32.05464</v>
      </c>
      <c r="E525" s="24">
        <v>1</v>
      </c>
      <c r="F525" s="29">
        <v>1</v>
      </c>
      <c r="G525" s="25">
        <v>1</v>
      </c>
      <c r="H525" s="23">
        <f t="shared" si="27"/>
        <v>32.05464</v>
      </c>
      <c r="J525"/>
      <c r="L525"/>
    </row>
    <row r="526" spans="1:12" ht="12.75">
      <c r="A526" s="24"/>
      <c r="B526" s="21" t="s">
        <v>176</v>
      </c>
      <c r="C526" s="22" t="s">
        <v>15</v>
      </c>
      <c r="D526" s="23">
        <f t="shared" si="28"/>
        <v>64.109165</v>
      </c>
      <c r="E526" s="24">
        <v>1</v>
      </c>
      <c r="F526" s="29">
        <v>1</v>
      </c>
      <c r="G526" s="25">
        <v>1</v>
      </c>
      <c r="H526" s="23">
        <f t="shared" si="27"/>
        <v>64.109165</v>
      </c>
      <c r="J526"/>
      <c r="L526"/>
    </row>
    <row r="527" spans="1:12" ht="12.75">
      <c r="A527" s="24"/>
      <c r="B527" s="21" t="s">
        <v>174</v>
      </c>
      <c r="C527" s="22" t="s">
        <v>15</v>
      </c>
      <c r="D527" s="23">
        <f t="shared" si="28"/>
        <v>21.36976</v>
      </c>
      <c r="E527" s="24">
        <v>1</v>
      </c>
      <c r="F527" s="29">
        <v>1</v>
      </c>
      <c r="G527" s="25">
        <v>2</v>
      </c>
      <c r="H527" s="23">
        <f t="shared" si="27"/>
        <v>42.73952</v>
      </c>
      <c r="J527"/>
      <c r="L527"/>
    </row>
    <row r="528" spans="1:12" ht="12.75">
      <c r="A528" s="24"/>
      <c r="B528" s="21" t="s">
        <v>171</v>
      </c>
      <c r="C528" s="22" t="s">
        <v>15</v>
      </c>
      <c r="D528" s="23">
        <f t="shared" si="28"/>
        <v>7.12333</v>
      </c>
      <c r="E528" s="24">
        <v>1</v>
      </c>
      <c r="F528" s="29">
        <v>1</v>
      </c>
      <c r="G528" s="25">
        <v>2</v>
      </c>
      <c r="H528" s="23">
        <f t="shared" si="27"/>
        <v>14.24666</v>
      </c>
      <c r="J528"/>
      <c r="L528"/>
    </row>
    <row r="529" spans="1:12" ht="12.75">
      <c r="A529" s="24"/>
      <c r="B529" s="21" t="s">
        <v>372</v>
      </c>
      <c r="C529" s="22" t="s">
        <v>15</v>
      </c>
      <c r="D529" s="23">
        <f t="shared" si="28"/>
        <v>1536</v>
      </c>
      <c r="E529" s="24">
        <v>1</v>
      </c>
      <c r="F529" s="29">
        <v>1</v>
      </c>
      <c r="G529" s="25">
        <v>1</v>
      </c>
      <c r="H529" s="23">
        <f>PRODUCT(D529:G529)</f>
        <v>1536</v>
      </c>
      <c r="J529"/>
      <c r="L529"/>
    </row>
    <row r="530" spans="1:12" ht="12.75">
      <c r="A530" s="24"/>
      <c r="B530" s="241"/>
      <c r="C530" s="22"/>
      <c r="D530" s="23"/>
      <c r="E530" s="24"/>
      <c r="F530" s="29"/>
      <c r="G530" s="25"/>
      <c r="H530" s="23">
        <f>SUM(H520:H529)</f>
        <v>6048.2660859694915</v>
      </c>
      <c r="J530"/>
      <c r="L530"/>
    </row>
    <row r="531" spans="1:12" ht="12.75">
      <c r="A531" s="24"/>
      <c r="B531" s="175" t="s">
        <v>371</v>
      </c>
      <c r="C531" s="22"/>
      <c r="D531" s="23"/>
      <c r="E531" s="24"/>
      <c r="F531" s="29"/>
      <c r="G531" s="25"/>
      <c r="H531" s="23"/>
      <c r="J531"/>
      <c r="L531"/>
    </row>
    <row r="532" spans="1:12" ht="12.75">
      <c r="A532" s="24"/>
      <c r="B532" s="21" t="s">
        <v>154</v>
      </c>
      <c r="C532" s="22" t="s">
        <v>65</v>
      </c>
      <c r="D532" s="23">
        <f>D508</f>
        <v>612.5990199999999</v>
      </c>
      <c r="E532" s="24">
        <v>1</v>
      </c>
      <c r="F532" s="29">
        <v>1</v>
      </c>
      <c r="G532" s="25">
        <v>0.04</v>
      </c>
      <c r="H532" s="23">
        <f aca="true" t="shared" si="29" ref="H532:H540">PRODUCT(D532:G532)</f>
        <v>24.503960799999994</v>
      </c>
      <c r="J532"/>
      <c r="L532"/>
    </row>
    <row r="533" spans="1:12" ht="12.75">
      <c r="A533" s="24"/>
      <c r="B533" s="21" t="s">
        <v>371</v>
      </c>
      <c r="C533" s="22" t="s">
        <v>15</v>
      </c>
      <c r="D533" s="23">
        <f>3975+1425</f>
        <v>5400</v>
      </c>
      <c r="E533" s="24">
        <v>1</v>
      </c>
      <c r="F533" s="29">
        <v>1</v>
      </c>
      <c r="G533" s="25">
        <v>1</v>
      </c>
      <c r="H533" s="23">
        <f t="shared" si="29"/>
        <v>5400</v>
      </c>
      <c r="J533"/>
      <c r="L533"/>
    </row>
    <row r="534" spans="1:12" ht="12.75">
      <c r="A534" s="24"/>
      <c r="B534" s="21" t="s">
        <v>166</v>
      </c>
      <c r="C534" s="22" t="s">
        <v>15</v>
      </c>
      <c r="D534" s="23">
        <f aca="true" t="shared" si="30" ref="D534:D541">D510</f>
        <v>78.35571</v>
      </c>
      <c r="E534" s="24">
        <v>1</v>
      </c>
      <c r="F534" s="29">
        <v>1</v>
      </c>
      <c r="G534" s="25">
        <v>2</v>
      </c>
      <c r="H534" s="23">
        <f t="shared" si="29"/>
        <v>156.71142</v>
      </c>
      <c r="J534"/>
      <c r="L534"/>
    </row>
    <row r="535" spans="1:12" ht="12.75">
      <c r="A535" s="24"/>
      <c r="B535" s="21" t="s">
        <v>281</v>
      </c>
      <c r="C535" s="22" t="s">
        <v>15</v>
      </c>
      <c r="D535" s="23">
        <f t="shared" si="30"/>
        <v>42.25655508474576</v>
      </c>
      <c r="E535" s="24">
        <v>1</v>
      </c>
      <c r="F535" s="29">
        <v>1</v>
      </c>
      <c r="G535" s="25">
        <v>2</v>
      </c>
      <c r="H535" s="23">
        <f t="shared" si="29"/>
        <v>84.51311016949153</v>
      </c>
      <c r="J535"/>
      <c r="L535"/>
    </row>
    <row r="536" spans="1:12" ht="12.75">
      <c r="A536" s="24"/>
      <c r="B536" s="21" t="s">
        <v>168</v>
      </c>
      <c r="C536" s="22" t="s">
        <v>15</v>
      </c>
      <c r="D536" s="23">
        <f t="shared" si="30"/>
        <v>35.616305</v>
      </c>
      <c r="E536" s="24">
        <v>1</v>
      </c>
      <c r="F536" s="29">
        <v>1</v>
      </c>
      <c r="G536" s="25">
        <v>2</v>
      </c>
      <c r="H536" s="23">
        <f t="shared" si="29"/>
        <v>71.23261</v>
      </c>
      <c r="J536"/>
      <c r="L536"/>
    </row>
    <row r="537" spans="1:12" ht="12.75">
      <c r="A537" s="24"/>
      <c r="B537" s="21" t="s">
        <v>175</v>
      </c>
      <c r="C537" s="22" t="s">
        <v>15</v>
      </c>
      <c r="D537" s="23">
        <f t="shared" si="30"/>
        <v>32.05464</v>
      </c>
      <c r="E537" s="24">
        <v>1</v>
      </c>
      <c r="F537" s="29">
        <v>1</v>
      </c>
      <c r="G537" s="25">
        <v>1</v>
      </c>
      <c r="H537" s="23">
        <f t="shared" si="29"/>
        <v>32.05464</v>
      </c>
      <c r="J537"/>
      <c r="L537"/>
    </row>
    <row r="538" spans="1:12" ht="12.75">
      <c r="A538" s="24"/>
      <c r="B538" s="21" t="s">
        <v>176</v>
      </c>
      <c r="C538" s="22" t="s">
        <v>15</v>
      </c>
      <c r="D538" s="23">
        <f t="shared" si="30"/>
        <v>64.109165</v>
      </c>
      <c r="E538" s="24">
        <v>1</v>
      </c>
      <c r="F538" s="29">
        <v>1</v>
      </c>
      <c r="G538" s="25">
        <v>1</v>
      </c>
      <c r="H538" s="23">
        <f t="shared" si="29"/>
        <v>64.109165</v>
      </c>
      <c r="J538"/>
      <c r="L538"/>
    </row>
    <row r="539" spans="1:12" ht="12.75">
      <c r="A539" s="24"/>
      <c r="B539" s="21" t="s">
        <v>174</v>
      </c>
      <c r="C539" s="22" t="s">
        <v>15</v>
      </c>
      <c r="D539" s="23">
        <f t="shared" si="30"/>
        <v>21.36976</v>
      </c>
      <c r="E539" s="24">
        <v>1</v>
      </c>
      <c r="F539" s="29">
        <v>1</v>
      </c>
      <c r="G539" s="25">
        <v>2</v>
      </c>
      <c r="H539" s="23">
        <f t="shared" si="29"/>
        <v>42.73952</v>
      </c>
      <c r="J539"/>
      <c r="L539"/>
    </row>
    <row r="540" spans="1:12" ht="12.75">
      <c r="A540" s="24"/>
      <c r="B540" s="21" t="s">
        <v>171</v>
      </c>
      <c r="C540" s="22" t="s">
        <v>15</v>
      </c>
      <c r="D540" s="23">
        <f t="shared" si="30"/>
        <v>7.12333</v>
      </c>
      <c r="E540" s="24">
        <v>1</v>
      </c>
      <c r="F540" s="29">
        <v>1</v>
      </c>
      <c r="G540" s="25">
        <v>2</v>
      </c>
      <c r="H540" s="23">
        <f t="shared" si="29"/>
        <v>14.24666</v>
      </c>
      <c r="J540"/>
      <c r="L540"/>
    </row>
    <row r="541" spans="1:12" ht="12.75">
      <c r="A541" s="24"/>
      <c r="B541" s="21" t="s">
        <v>372</v>
      </c>
      <c r="C541" s="22" t="s">
        <v>15</v>
      </c>
      <c r="D541" s="23">
        <f t="shared" si="30"/>
        <v>1536</v>
      </c>
      <c r="E541" s="24">
        <v>1</v>
      </c>
      <c r="F541" s="29">
        <v>1</v>
      </c>
      <c r="G541" s="25">
        <v>1</v>
      </c>
      <c r="H541" s="23">
        <f>PRODUCT(D541:G541)</f>
        <v>1536</v>
      </c>
      <c r="J541"/>
      <c r="L541"/>
    </row>
    <row r="542" spans="1:12" ht="12.75">
      <c r="A542" s="24"/>
      <c r="B542" s="241"/>
      <c r="C542" s="22"/>
      <c r="D542" s="23"/>
      <c r="E542" s="24"/>
      <c r="F542" s="29"/>
      <c r="G542" s="25"/>
      <c r="H542" s="23">
        <f>SUM(H532:H541)</f>
        <v>7426.111085969491</v>
      </c>
      <c r="J542"/>
      <c r="L542"/>
    </row>
    <row r="543" spans="1:12" ht="12.75">
      <c r="A543" s="19"/>
      <c r="B543" s="175" t="s">
        <v>184</v>
      </c>
      <c r="C543" s="22"/>
      <c r="D543" s="23"/>
      <c r="E543" s="24"/>
      <c r="F543" s="29"/>
      <c r="G543" s="25"/>
      <c r="H543" s="23"/>
      <c r="J543"/>
      <c r="L543"/>
    </row>
    <row r="544" spans="1:12" ht="12.75">
      <c r="A544" s="24"/>
      <c r="B544" s="21" t="s">
        <v>608</v>
      </c>
      <c r="C544" s="22" t="s">
        <v>15</v>
      </c>
      <c r="D544" s="23">
        <f>'Lista de recursos'!F223</f>
        <v>813.61</v>
      </c>
      <c r="E544" s="24">
        <v>1</v>
      </c>
      <c r="F544" s="29">
        <v>1</v>
      </c>
      <c r="G544" s="25">
        <v>1</v>
      </c>
      <c r="H544" s="23">
        <f aca="true" t="shared" si="31" ref="H544:H551">PRODUCT(D544:G544)</f>
        <v>813.61</v>
      </c>
      <c r="J544"/>
      <c r="L544"/>
    </row>
    <row r="545" spans="1:12" ht="12.75">
      <c r="A545" s="24"/>
      <c r="B545" s="21" t="s">
        <v>162</v>
      </c>
      <c r="C545" s="22" t="s">
        <v>15</v>
      </c>
      <c r="D545" s="23">
        <f>'Lista de recursos'!F90</f>
        <v>286.68</v>
      </c>
      <c r="E545" s="24">
        <v>1</v>
      </c>
      <c r="F545" s="29">
        <v>1</v>
      </c>
      <c r="G545" s="25">
        <v>0.17</v>
      </c>
      <c r="H545" s="23">
        <f t="shared" si="31"/>
        <v>48.735600000000005</v>
      </c>
      <c r="J545"/>
      <c r="L545"/>
    </row>
    <row r="546" spans="1:12" ht="12.75">
      <c r="A546" s="24"/>
      <c r="B546" s="21" t="s">
        <v>163</v>
      </c>
      <c r="C546" s="22" t="s">
        <v>15</v>
      </c>
      <c r="D546" s="23">
        <f>'Lista de recursos'!F93</f>
        <v>31.342329999999997</v>
      </c>
      <c r="E546" s="24">
        <v>1</v>
      </c>
      <c r="F546" s="29">
        <v>1</v>
      </c>
      <c r="G546" s="25">
        <v>1</v>
      </c>
      <c r="H546" s="23">
        <f t="shared" si="31"/>
        <v>31.342329999999997</v>
      </c>
      <c r="J546"/>
      <c r="L546"/>
    </row>
    <row r="547" spans="1:12" ht="12.75">
      <c r="A547" s="24"/>
      <c r="B547" s="21" t="s">
        <v>164</v>
      </c>
      <c r="C547" s="22" t="s">
        <v>15</v>
      </c>
      <c r="D547" s="23">
        <f>'Lista de recursos'!F95</f>
        <v>21.36976</v>
      </c>
      <c r="E547" s="24">
        <v>1</v>
      </c>
      <c r="F547" s="29">
        <v>1</v>
      </c>
      <c r="G547" s="25">
        <v>1</v>
      </c>
      <c r="H547" s="23">
        <f t="shared" si="31"/>
        <v>21.36976</v>
      </c>
      <c r="J547"/>
      <c r="L547"/>
    </row>
    <row r="548" spans="1:12" ht="12.75">
      <c r="A548" s="24"/>
      <c r="B548" s="21" t="s">
        <v>165</v>
      </c>
      <c r="C548" s="22" t="s">
        <v>15</v>
      </c>
      <c r="D548" s="23">
        <f>'Lista de recursos'!F97</f>
        <v>63.24999999999999</v>
      </c>
      <c r="E548" s="24">
        <v>1</v>
      </c>
      <c r="F548" s="29">
        <v>1</v>
      </c>
      <c r="G548" s="25">
        <v>1</v>
      </c>
      <c r="H548" s="23">
        <f t="shared" si="31"/>
        <v>63.24999999999999</v>
      </c>
      <c r="J548"/>
      <c r="L548"/>
    </row>
    <row r="549" spans="1:12" ht="12.75">
      <c r="A549" s="24"/>
      <c r="B549" s="21" t="s">
        <v>173</v>
      </c>
      <c r="C549" s="22" t="s">
        <v>15</v>
      </c>
      <c r="D549" s="23">
        <f>'Lista de recursos'!F99</f>
        <v>345</v>
      </c>
      <c r="E549" s="24">
        <v>1</v>
      </c>
      <c r="F549" s="29">
        <v>1</v>
      </c>
      <c r="G549" s="25">
        <v>1</v>
      </c>
      <c r="H549" s="23">
        <f t="shared" si="31"/>
        <v>345</v>
      </c>
      <c r="J549"/>
      <c r="L549"/>
    </row>
    <row r="550" spans="1:12" ht="12.75">
      <c r="A550" s="24"/>
      <c r="B550" s="21" t="s">
        <v>283</v>
      </c>
      <c r="C550" s="22" t="s">
        <v>15</v>
      </c>
      <c r="D550" s="23">
        <f>D494</f>
        <v>3190</v>
      </c>
      <c r="E550" s="24">
        <v>1</v>
      </c>
      <c r="F550" s="29">
        <v>1</v>
      </c>
      <c r="G550" s="25">
        <v>0.025</v>
      </c>
      <c r="H550" s="23">
        <f t="shared" si="31"/>
        <v>79.75</v>
      </c>
      <c r="J550"/>
      <c r="L550"/>
    </row>
    <row r="551" spans="1:12" ht="12.75">
      <c r="A551" s="24"/>
      <c r="B551" s="21" t="s">
        <v>609</v>
      </c>
      <c r="C551" s="22" t="s">
        <v>15</v>
      </c>
      <c r="D551" s="23">
        <f>'Lista de recursos'!F121</f>
        <v>49.862734999999994</v>
      </c>
      <c r="E551" s="24">
        <v>1</v>
      </c>
      <c r="F551" s="29">
        <v>1</v>
      </c>
      <c r="G551" s="25">
        <v>1</v>
      </c>
      <c r="H551" s="23">
        <f t="shared" si="31"/>
        <v>49.862734999999994</v>
      </c>
      <c r="J551"/>
      <c r="L551"/>
    </row>
    <row r="552" spans="1:12" ht="12.75">
      <c r="A552" s="24"/>
      <c r="B552" s="21"/>
      <c r="C552" s="22"/>
      <c r="D552" s="23"/>
      <c r="E552" s="24"/>
      <c r="F552" s="29"/>
      <c r="G552" s="25"/>
      <c r="H552" s="23">
        <f>SUM(H544:H551)</f>
        <v>1452.920425</v>
      </c>
      <c r="J552"/>
      <c r="L552"/>
    </row>
    <row r="553" spans="1:12" ht="12.75">
      <c r="A553" s="24"/>
      <c r="B553" s="175" t="s">
        <v>607</v>
      </c>
      <c r="C553" s="22"/>
      <c r="D553" s="23"/>
      <c r="E553" s="24"/>
      <c r="F553" s="29"/>
      <c r="G553" s="25"/>
      <c r="H553" s="23"/>
      <c r="J553"/>
      <c r="L553"/>
    </row>
    <row r="554" spans="1:12" ht="12.75">
      <c r="A554" s="24"/>
      <c r="B554" s="21" t="s">
        <v>608</v>
      </c>
      <c r="C554" s="22" t="s">
        <v>15</v>
      </c>
      <c r="D554" s="23">
        <f>D544</f>
        <v>813.61</v>
      </c>
      <c r="E554" s="24">
        <v>1</v>
      </c>
      <c r="F554" s="29">
        <v>1</v>
      </c>
      <c r="G554" s="25">
        <v>1</v>
      </c>
      <c r="H554" s="23">
        <f aca="true" t="shared" si="32" ref="H554:H561">PRODUCT(D554:G554)</f>
        <v>813.61</v>
      </c>
      <c r="J554"/>
      <c r="L554"/>
    </row>
    <row r="555" spans="1:12" ht="12.75">
      <c r="A555" s="24"/>
      <c r="B555" s="21" t="s">
        <v>212</v>
      </c>
      <c r="C555" s="22" t="s">
        <v>15</v>
      </c>
      <c r="D555" s="23">
        <f>'Lista de recursos'!F91</f>
        <v>582.92</v>
      </c>
      <c r="E555" s="24">
        <v>1</v>
      </c>
      <c r="F555" s="29">
        <v>1</v>
      </c>
      <c r="G555" s="25">
        <v>0.17</v>
      </c>
      <c r="H555" s="23">
        <f t="shared" si="32"/>
        <v>99.0964</v>
      </c>
      <c r="J555"/>
      <c r="L555"/>
    </row>
    <row r="556" spans="1:12" ht="12.75">
      <c r="A556" s="24"/>
      <c r="B556" s="21" t="s">
        <v>213</v>
      </c>
      <c r="C556" s="22" t="s">
        <v>15</v>
      </c>
      <c r="D556" s="23">
        <f>'Lista de recursos'!F94</f>
        <v>106.84868499999999</v>
      </c>
      <c r="E556" s="24">
        <v>1</v>
      </c>
      <c r="F556" s="29">
        <v>1</v>
      </c>
      <c r="G556" s="25">
        <v>1</v>
      </c>
      <c r="H556" s="23">
        <f t="shared" si="32"/>
        <v>106.84868499999999</v>
      </c>
      <c r="J556"/>
      <c r="L556"/>
    </row>
    <row r="557" spans="1:12" ht="12.75">
      <c r="A557" s="24"/>
      <c r="B557" s="21" t="s">
        <v>244</v>
      </c>
      <c r="C557" s="22" t="s">
        <v>15</v>
      </c>
      <c r="D557" s="23">
        <f>'Lista de recursos'!F96</f>
        <v>79.60214</v>
      </c>
      <c r="E557" s="24">
        <v>1</v>
      </c>
      <c r="F557" s="29">
        <v>1</v>
      </c>
      <c r="G557" s="25">
        <v>1</v>
      </c>
      <c r="H557" s="23">
        <f t="shared" si="32"/>
        <v>79.60214</v>
      </c>
      <c r="J557"/>
      <c r="L557"/>
    </row>
    <row r="558" spans="1:12" ht="12.75">
      <c r="A558" s="24"/>
      <c r="B558" s="21" t="s">
        <v>165</v>
      </c>
      <c r="C558" s="22" t="s">
        <v>15</v>
      </c>
      <c r="D558" s="23">
        <f>D548</f>
        <v>63.24999999999999</v>
      </c>
      <c r="E558" s="24">
        <v>1</v>
      </c>
      <c r="F558" s="29">
        <v>1</v>
      </c>
      <c r="G558" s="25">
        <v>1</v>
      </c>
      <c r="H558" s="23">
        <f t="shared" si="32"/>
        <v>63.24999999999999</v>
      </c>
      <c r="J558"/>
      <c r="L558"/>
    </row>
    <row r="559" spans="1:12" ht="12.75">
      <c r="A559" s="24"/>
      <c r="B559" s="21" t="s">
        <v>245</v>
      </c>
      <c r="C559" s="22" t="s">
        <v>15</v>
      </c>
      <c r="D559" s="23">
        <f>D549</f>
        <v>345</v>
      </c>
      <c r="E559" s="24">
        <v>1</v>
      </c>
      <c r="F559" s="29">
        <v>1</v>
      </c>
      <c r="G559" s="25">
        <v>1</v>
      </c>
      <c r="H559" s="23">
        <f t="shared" si="32"/>
        <v>345</v>
      </c>
      <c r="J559"/>
      <c r="L559"/>
    </row>
    <row r="560" spans="1:12" ht="12.75">
      <c r="A560" s="24"/>
      <c r="B560" s="21" t="s">
        <v>283</v>
      </c>
      <c r="C560" s="22" t="s">
        <v>15</v>
      </c>
      <c r="D560" s="23">
        <f>D550</f>
        <v>3190</v>
      </c>
      <c r="E560" s="24">
        <v>1</v>
      </c>
      <c r="F560" s="29">
        <v>1</v>
      </c>
      <c r="G560" s="25">
        <v>0.02504</v>
      </c>
      <c r="H560" s="23">
        <f t="shared" si="32"/>
        <v>79.8776</v>
      </c>
      <c r="J560"/>
      <c r="L560"/>
    </row>
    <row r="561" spans="1:12" ht="12.75">
      <c r="A561" s="24"/>
      <c r="B561" s="21" t="s">
        <v>186</v>
      </c>
      <c r="C561" s="22" t="s">
        <v>15</v>
      </c>
      <c r="D561" s="23">
        <f>D551</f>
        <v>49.862734999999994</v>
      </c>
      <c r="E561" s="24">
        <v>1</v>
      </c>
      <c r="F561" s="29">
        <v>1</v>
      </c>
      <c r="G561" s="25">
        <v>1</v>
      </c>
      <c r="H561" s="23">
        <f t="shared" si="32"/>
        <v>49.862734999999994</v>
      </c>
      <c r="J561"/>
      <c r="L561"/>
    </row>
    <row r="562" spans="1:12" ht="12.75">
      <c r="A562" s="24"/>
      <c r="B562" s="21"/>
      <c r="C562" s="22"/>
      <c r="D562" s="23"/>
      <c r="E562" s="24"/>
      <c r="F562" s="29"/>
      <c r="G562" s="25"/>
      <c r="H562" s="23">
        <f>SUM(H554:H561)</f>
        <v>1637.1475599999999</v>
      </c>
      <c r="J562"/>
      <c r="L562"/>
    </row>
    <row r="563" spans="1:8" ht="12.75">
      <c r="A563" s="19"/>
      <c r="B563" s="175" t="s">
        <v>330</v>
      </c>
      <c r="C563" s="22"/>
      <c r="D563" s="23"/>
      <c r="E563" s="24"/>
      <c r="F563" s="29"/>
      <c r="G563" s="25"/>
      <c r="H563" s="23"/>
    </row>
    <row r="564" spans="1:8" ht="12.75">
      <c r="A564" s="24"/>
      <c r="B564" s="21" t="s">
        <v>154</v>
      </c>
      <c r="C564" s="22" t="s">
        <v>65</v>
      </c>
      <c r="D564" s="23">
        <f>D508</f>
        <v>612.5990199999999</v>
      </c>
      <c r="E564" s="24">
        <v>1</v>
      </c>
      <c r="F564" s="29">
        <v>1</v>
      </c>
      <c r="G564" s="25">
        <v>0.035</v>
      </c>
      <c r="H564" s="23">
        <f aca="true" t="shared" si="33" ref="H564:H573">PRODUCT(D564:G564)</f>
        <v>21.4409657</v>
      </c>
    </row>
    <row r="565" spans="1:12" ht="12.75">
      <c r="A565" s="24"/>
      <c r="B565" s="21" t="s">
        <v>193</v>
      </c>
      <c r="C565" s="22" t="s">
        <v>15</v>
      </c>
      <c r="D565" s="23">
        <f>'Lista de recursos'!D124</f>
        <v>96.5864533898305</v>
      </c>
      <c r="E565" s="24">
        <v>1</v>
      </c>
      <c r="F565" s="29">
        <v>1</v>
      </c>
      <c r="G565" s="25">
        <v>1</v>
      </c>
      <c r="H565" s="23">
        <f t="shared" si="33"/>
        <v>96.5864533898305</v>
      </c>
      <c r="J565"/>
      <c r="L565"/>
    </row>
    <row r="566" spans="1:12" ht="12.75">
      <c r="A566" s="24"/>
      <c r="B566" s="21" t="s">
        <v>286</v>
      </c>
      <c r="C566" s="22" t="s">
        <v>15</v>
      </c>
      <c r="D566" s="23">
        <f>D550</f>
        <v>3190</v>
      </c>
      <c r="E566" s="24">
        <v>1</v>
      </c>
      <c r="F566" s="29">
        <v>1</v>
      </c>
      <c r="G566" s="25">
        <v>0.0204</v>
      </c>
      <c r="H566" s="23">
        <f>PRODUCT(D566:G566)/0.73</f>
        <v>89.14520547945207</v>
      </c>
      <c r="J566"/>
      <c r="L566"/>
    </row>
    <row r="567" spans="1:12" ht="12.75">
      <c r="A567" s="24"/>
      <c r="B567" s="21" t="s">
        <v>328</v>
      </c>
      <c r="C567" s="22" t="s">
        <v>15</v>
      </c>
      <c r="D567" s="23">
        <f>'Lista de recursos'!F105</f>
        <v>2801.21655</v>
      </c>
      <c r="E567" s="24">
        <v>1</v>
      </c>
      <c r="F567" s="29">
        <v>1</v>
      </c>
      <c r="G567" s="25">
        <v>1</v>
      </c>
      <c r="H567" s="23">
        <f t="shared" si="33"/>
        <v>2801.21655</v>
      </c>
      <c r="J567"/>
      <c r="L567"/>
    </row>
    <row r="568" spans="1:12" ht="12.75">
      <c r="A568" s="24"/>
      <c r="B568" s="21" t="s">
        <v>166</v>
      </c>
      <c r="C568" s="22" t="s">
        <v>15</v>
      </c>
      <c r="D568" s="23">
        <f>'Lista de recursos'!F107</f>
        <v>78.35571</v>
      </c>
      <c r="E568" s="24">
        <v>1</v>
      </c>
      <c r="F568" s="29">
        <v>1</v>
      </c>
      <c r="G568" s="25">
        <v>2</v>
      </c>
      <c r="H568" s="23">
        <f t="shared" si="33"/>
        <v>156.71142</v>
      </c>
      <c r="J568"/>
      <c r="L568"/>
    </row>
    <row r="569" spans="1:12" ht="12.75">
      <c r="A569" s="24"/>
      <c r="B569" s="21" t="s">
        <v>167</v>
      </c>
      <c r="C569" s="22" t="s">
        <v>15</v>
      </c>
      <c r="D569" s="23">
        <f>'Lista de recursos'!F112</f>
        <v>49.862734999999994</v>
      </c>
      <c r="E569" s="24">
        <v>1</v>
      </c>
      <c r="F569" s="29">
        <v>1</v>
      </c>
      <c r="G569" s="25">
        <v>2</v>
      </c>
      <c r="H569" s="23">
        <f t="shared" si="33"/>
        <v>99.72546999999999</v>
      </c>
      <c r="J569"/>
      <c r="L569"/>
    </row>
    <row r="570" spans="1:12" ht="12.75">
      <c r="A570" s="24"/>
      <c r="B570" s="21" t="s">
        <v>168</v>
      </c>
      <c r="C570" s="22" t="s">
        <v>15</v>
      </c>
      <c r="D570" s="23">
        <f>'Lista de recursos'!F113</f>
        <v>35.616305</v>
      </c>
      <c r="E570" s="24">
        <v>1</v>
      </c>
      <c r="F570" s="29">
        <v>1</v>
      </c>
      <c r="G570" s="25">
        <v>2</v>
      </c>
      <c r="H570" s="23">
        <f t="shared" si="33"/>
        <v>71.23261</v>
      </c>
      <c r="J570"/>
      <c r="L570"/>
    </row>
    <row r="571" spans="1:12" ht="12.75">
      <c r="A571" s="24"/>
      <c r="B571" s="21" t="s">
        <v>195</v>
      </c>
      <c r="C571" s="22" t="s">
        <v>15</v>
      </c>
      <c r="D571" s="23">
        <f>'Lista de recursos'!F119</f>
        <v>113.97201499999998</v>
      </c>
      <c r="E571" s="24">
        <v>1</v>
      </c>
      <c r="F571" s="29">
        <v>1</v>
      </c>
      <c r="G571" s="25">
        <v>2</v>
      </c>
      <c r="H571" s="23">
        <f t="shared" si="33"/>
        <v>227.94402999999997</v>
      </c>
      <c r="J571"/>
      <c r="L571"/>
    </row>
    <row r="572" spans="1:12" ht="12.75">
      <c r="A572" s="24"/>
      <c r="B572" s="21" t="s">
        <v>196</v>
      </c>
      <c r="C572" s="22" t="s">
        <v>15</v>
      </c>
      <c r="D572" s="23">
        <f>'Lista de recursos'!F129</f>
        <v>170.95784999999998</v>
      </c>
      <c r="E572" s="24">
        <v>1</v>
      </c>
      <c r="F572" s="29">
        <v>1</v>
      </c>
      <c r="G572" s="25">
        <v>1</v>
      </c>
      <c r="H572" s="23">
        <f t="shared" si="33"/>
        <v>170.95784999999998</v>
      </c>
      <c r="J572"/>
      <c r="L572"/>
    </row>
    <row r="573" spans="1:12" ht="12.75">
      <c r="A573" s="24"/>
      <c r="B573" s="21" t="s">
        <v>171</v>
      </c>
      <c r="C573" s="22" t="s">
        <v>15</v>
      </c>
      <c r="D573" s="23">
        <f>'Lista de recursos'!F131</f>
        <v>7.12333</v>
      </c>
      <c r="E573" s="24">
        <v>1</v>
      </c>
      <c r="F573" s="29">
        <v>1</v>
      </c>
      <c r="G573" s="25">
        <v>2</v>
      </c>
      <c r="H573" s="23">
        <f t="shared" si="33"/>
        <v>14.24666</v>
      </c>
      <c r="J573"/>
      <c r="L573"/>
    </row>
    <row r="574" spans="1:12" ht="12.75">
      <c r="A574" s="24"/>
      <c r="B574" s="21" t="s">
        <v>372</v>
      </c>
      <c r="C574" s="22" t="s">
        <v>15</v>
      </c>
      <c r="D574" s="23">
        <v>1350</v>
      </c>
      <c r="E574" s="24">
        <v>1</v>
      </c>
      <c r="F574" s="29">
        <v>1</v>
      </c>
      <c r="G574" s="25">
        <v>1</v>
      </c>
      <c r="H574" s="23">
        <f>PRODUCT(D574:G574)</f>
        <v>1350</v>
      </c>
      <c r="J574"/>
      <c r="L574"/>
    </row>
    <row r="575" spans="1:12" ht="12.75">
      <c r="A575" s="24"/>
      <c r="B575" s="21"/>
      <c r="C575" s="22"/>
      <c r="D575" s="23"/>
      <c r="E575" s="24"/>
      <c r="F575" s="29"/>
      <c r="G575" s="25"/>
      <c r="H575" s="23">
        <f>SUM(H564:H574)</f>
        <v>5099.207214569282</v>
      </c>
      <c r="I575">
        <v>5099.6337</v>
      </c>
      <c r="J575"/>
      <c r="L575"/>
    </row>
    <row r="576" spans="1:12" ht="25.5">
      <c r="A576" s="24"/>
      <c r="B576" s="172" t="s">
        <v>424</v>
      </c>
      <c r="C576" s="22"/>
      <c r="D576" s="23"/>
      <c r="E576" s="24"/>
      <c r="F576" s="29"/>
      <c r="G576" s="25"/>
      <c r="H576" s="23"/>
      <c r="J576"/>
      <c r="L576"/>
    </row>
    <row r="577" spans="1:12" ht="12.75">
      <c r="A577" s="24"/>
      <c r="B577" s="21" t="s">
        <v>580</v>
      </c>
      <c r="C577" s="22" t="s">
        <v>15</v>
      </c>
      <c r="D577" s="23">
        <f>'Lista de recursos'!F117</f>
        <v>3880.49005</v>
      </c>
      <c r="E577" s="24">
        <v>1</v>
      </c>
      <c r="F577" s="29">
        <v>1</v>
      </c>
      <c r="G577" s="25">
        <v>1</v>
      </c>
      <c r="H577" s="23">
        <f>PRODUCT(D577:G577)</f>
        <v>3880.49005</v>
      </c>
      <c r="J577"/>
      <c r="L577"/>
    </row>
    <row r="578" spans="1:12" ht="12.75">
      <c r="A578" s="527"/>
      <c r="B578" s="21"/>
      <c r="C578" s="499"/>
      <c r="D578" s="23"/>
      <c r="E578" s="24"/>
      <c r="F578" s="29"/>
      <c r="G578" s="25"/>
      <c r="H578" s="23">
        <f>SUM(H577)</f>
        <v>3880.49005</v>
      </c>
      <c r="J578"/>
      <c r="L578"/>
    </row>
    <row r="579" spans="1:12" ht="25.5">
      <c r="A579" s="523"/>
      <c r="B579" s="501" t="s">
        <v>460</v>
      </c>
      <c r="C579" s="500"/>
      <c r="D579" s="23"/>
      <c r="E579" s="24"/>
      <c r="F579" s="29"/>
      <c r="G579" s="25"/>
      <c r="H579" s="23"/>
      <c r="J579"/>
      <c r="L579"/>
    </row>
    <row r="580" spans="1:12" ht="12.75">
      <c r="A580" s="24"/>
      <c r="B580" s="19" t="s">
        <v>756</v>
      </c>
      <c r="C580" s="27" t="s">
        <v>15</v>
      </c>
      <c r="D580" s="528">
        <f>'Lista de recursos'!F88</f>
        <v>385.24999999999994</v>
      </c>
      <c r="E580" s="24">
        <v>1</v>
      </c>
      <c r="F580" s="24">
        <v>1</v>
      </c>
      <c r="G580" s="528">
        <f>3.28/19</f>
        <v>0.1726315789473684</v>
      </c>
      <c r="H580" s="529">
        <f aca="true" t="shared" si="34" ref="H580:H585">PRODUCT(D580:G580)</f>
        <v>66.50631578947367</v>
      </c>
      <c r="J580"/>
      <c r="L580"/>
    </row>
    <row r="581" spans="1:12" ht="12.75">
      <c r="A581" s="24"/>
      <c r="B581" s="19" t="s">
        <v>641</v>
      </c>
      <c r="C581" s="27" t="s">
        <v>7</v>
      </c>
      <c r="D581" s="528">
        <v>900</v>
      </c>
      <c r="E581" s="24">
        <v>1</v>
      </c>
      <c r="F581" s="24">
        <v>1</v>
      </c>
      <c r="G581" s="528">
        <v>0.03</v>
      </c>
      <c r="H581" s="529">
        <f t="shared" si="34"/>
        <v>27</v>
      </c>
      <c r="J581"/>
      <c r="L581"/>
    </row>
    <row r="582" spans="1:12" ht="12.75">
      <c r="A582" s="24"/>
      <c r="B582" s="19" t="s">
        <v>286</v>
      </c>
      <c r="C582" s="27" t="s">
        <v>642</v>
      </c>
      <c r="D582" s="528">
        <v>3190</v>
      </c>
      <c r="E582" s="24">
        <v>1</v>
      </c>
      <c r="F582" s="24">
        <v>1</v>
      </c>
      <c r="G582" s="528">
        <v>0.001</v>
      </c>
      <c r="H582" s="529">
        <f t="shared" si="34"/>
        <v>3.19</v>
      </c>
      <c r="J582"/>
      <c r="L582"/>
    </row>
    <row r="583" spans="1:12" ht="12.75">
      <c r="A583" s="24"/>
      <c r="B583" s="19" t="s">
        <v>643</v>
      </c>
      <c r="C583" s="27" t="s">
        <v>7</v>
      </c>
      <c r="D583" s="528">
        <v>108.08240677966101</v>
      </c>
      <c r="E583" s="24">
        <v>1</v>
      </c>
      <c r="F583" s="24">
        <v>1</v>
      </c>
      <c r="G583" s="528">
        <v>0.1</v>
      </c>
      <c r="H583" s="529">
        <f t="shared" si="34"/>
        <v>10.808240677966102</v>
      </c>
      <c r="J583"/>
      <c r="L583"/>
    </row>
    <row r="584" spans="1:12" ht="12.75">
      <c r="A584" s="24"/>
      <c r="B584" s="19" t="s">
        <v>205</v>
      </c>
      <c r="C584" s="27" t="s">
        <v>7</v>
      </c>
      <c r="D584" s="528">
        <v>422.88</v>
      </c>
      <c r="E584" s="24">
        <v>1</v>
      </c>
      <c r="F584" s="24">
        <v>1</v>
      </c>
      <c r="G584" s="528">
        <v>0.142</v>
      </c>
      <c r="H584" s="529">
        <f t="shared" si="34"/>
        <v>60.048959999999994</v>
      </c>
      <c r="J584"/>
      <c r="L584"/>
    </row>
    <row r="585" spans="1:12" ht="12.75">
      <c r="A585" s="24"/>
      <c r="B585" s="19" t="s">
        <v>644</v>
      </c>
      <c r="C585" s="27" t="s">
        <v>7</v>
      </c>
      <c r="D585" s="528">
        <v>414.59</v>
      </c>
      <c r="E585" s="24">
        <v>1</v>
      </c>
      <c r="F585" s="24">
        <v>1</v>
      </c>
      <c r="G585" s="528">
        <f>0.05*1.3</f>
        <v>0.065</v>
      </c>
      <c r="H585" s="529">
        <f t="shared" si="34"/>
        <v>26.948349999999998</v>
      </c>
      <c r="J585"/>
      <c r="L585"/>
    </row>
    <row r="586" spans="1:12" ht="12.75">
      <c r="A586" s="24"/>
      <c r="B586" s="20"/>
      <c r="C586" s="27"/>
      <c r="D586" s="528"/>
      <c r="E586" s="20"/>
      <c r="F586" s="222"/>
      <c r="G586" s="266"/>
      <c r="H586" s="528">
        <f>SUM(H580:H585)</f>
        <v>194.50186646743975</v>
      </c>
      <c r="J586"/>
      <c r="L586"/>
    </row>
    <row r="587" spans="1:12" ht="25.5">
      <c r="A587" s="24"/>
      <c r="B587" s="501" t="s">
        <v>757</v>
      </c>
      <c r="C587" s="500"/>
      <c r="D587" s="23"/>
      <c r="E587" s="24"/>
      <c r="F587" s="29"/>
      <c r="G587" s="25"/>
      <c r="H587" s="23"/>
      <c r="J587"/>
      <c r="L587"/>
    </row>
    <row r="588" spans="1:12" ht="12.75">
      <c r="A588" s="24"/>
      <c r="B588" s="19" t="s">
        <v>758</v>
      </c>
      <c r="C588" s="27" t="s">
        <v>15</v>
      </c>
      <c r="D588" s="528">
        <v>75</v>
      </c>
      <c r="E588" s="24">
        <v>1</v>
      </c>
      <c r="F588" s="24">
        <v>1</v>
      </c>
      <c r="G588" s="528">
        <f>3.28/19</f>
        <v>0.1726315789473684</v>
      </c>
      <c r="H588" s="529">
        <f aca="true" t="shared" si="35" ref="H588:H593">PRODUCT(D588:G588)</f>
        <v>12.947368421052632</v>
      </c>
      <c r="J588"/>
      <c r="L588"/>
    </row>
    <row r="589" spans="1:12" ht="12.75">
      <c r="A589" s="24"/>
      <c r="B589" s="19" t="s">
        <v>641</v>
      </c>
      <c r="C589" s="27" t="s">
        <v>7</v>
      </c>
      <c r="D589" s="528">
        <f>D581</f>
        <v>900</v>
      </c>
      <c r="E589" s="24">
        <v>1</v>
      </c>
      <c r="F589" s="24">
        <v>1</v>
      </c>
      <c r="G589" s="528">
        <v>0.03</v>
      </c>
      <c r="H589" s="529">
        <f t="shared" si="35"/>
        <v>27</v>
      </c>
      <c r="J589"/>
      <c r="L589"/>
    </row>
    <row r="590" spans="1:12" ht="12.75">
      <c r="A590" s="24"/>
      <c r="B590" s="19" t="s">
        <v>286</v>
      </c>
      <c r="C590" s="27" t="s">
        <v>642</v>
      </c>
      <c r="D590" s="528">
        <f>D582</f>
        <v>3190</v>
      </c>
      <c r="E590" s="24">
        <v>1</v>
      </c>
      <c r="F590" s="24">
        <v>1</v>
      </c>
      <c r="G590" s="528">
        <v>0.001</v>
      </c>
      <c r="H590" s="529">
        <f t="shared" si="35"/>
        <v>3.19</v>
      </c>
      <c r="J590"/>
      <c r="L590"/>
    </row>
    <row r="591" spans="1:12" ht="12.75">
      <c r="A591" s="24"/>
      <c r="B591" s="19" t="s">
        <v>643</v>
      </c>
      <c r="C591" s="27" t="s">
        <v>7</v>
      </c>
      <c r="D591" s="528">
        <f>D583</f>
        <v>108.08240677966101</v>
      </c>
      <c r="E591" s="24">
        <v>1</v>
      </c>
      <c r="F591" s="24">
        <v>1</v>
      </c>
      <c r="G591" s="528">
        <v>0.05</v>
      </c>
      <c r="H591" s="529">
        <f t="shared" si="35"/>
        <v>5.404120338983051</v>
      </c>
      <c r="J591"/>
      <c r="L591"/>
    </row>
    <row r="592" spans="1:12" ht="12.75">
      <c r="A592" s="24"/>
      <c r="B592" s="19" t="s">
        <v>205</v>
      </c>
      <c r="C592" s="27" t="s">
        <v>7</v>
      </c>
      <c r="D592" s="528">
        <f>D584</f>
        <v>422.88</v>
      </c>
      <c r="E592" s="24">
        <v>1</v>
      </c>
      <c r="F592" s="24">
        <v>1</v>
      </c>
      <c r="G592" s="528">
        <v>0.1</v>
      </c>
      <c r="H592" s="529">
        <f t="shared" si="35"/>
        <v>42.288000000000004</v>
      </c>
      <c r="J592"/>
      <c r="L592"/>
    </row>
    <row r="593" spans="1:12" ht="12.75">
      <c r="A593" s="24"/>
      <c r="B593" s="19" t="s">
        <v>644</v>
      </c>
      <c r="C593" s="27" t="s">
        <v>7</v>
      </c>
      <c r="D593" s="528">
        <f>D585</f>
        <v>414.59</v>
      </c>
      <c r="E593" s="24">
        <v>1</v>
      </c>
      <c r="F593" s="24">
        <v>1</v>
      </c>
      <c r="G593" s="528">
        <v>0.03</v>
      </c>
      <c r="H593" s="529">
        <f t="shared" si="35"/>
        <v>12.4377</v>
      </c>
      <c r="J593"/>
      <c r="L593"/>
    </row>
    <row r="594" spans="1:12" ht="12.75">
      <c r="A594" s="24"/>
      <c r="B594" s="20"/>
      <c r="C594" s="27"/>
      <c r="D594" s="528"/>
      <c r="E594" s="20"/>
      <c r="F594" s="222"/>
      <c r="G594" s="266"/>
      <c r="H594" s="528">
        <f>SUM(H588:H593)</f>
        <v>103.26718876003568</v>
      </c>
      <c r="J594"/>
      <c r="L594"/>
    </row>
    <row r="595" spans="1:12" ht="12.75">
      <c r="A595" s="24"/>
      <c r="B595" s="175" t="s">
        <v>461</v>
      </c>
      <c r="C595" s="22"/>
      <c r="D595" s="23"/>
      <c r="E595" s="24"/>
      <c r="F595" s="29"/>
      <c r="G595" s="25"/>
      <c r="H595" s="23"/>
      <c r="J595"/>
      <c r="L595"/>
    </row>
    <row r="596" spans="1:12" ht="12.75">
      <c r="A596" s="24"/>
      <c r="B596" s="19" t="s">
        <v>641</v>
      </c>
      <c r="C596" s="27" t="s">
        <v>7</v>
      </c>
      <c r="D596" s="528">
        <f>D589</f>
        <v>900</v>
      </c>
      <c r="E596" s="24">
        <v>1</v>
      </c>
      <c r="F596" s="24">
        <v>1</v>
      </c>
      <c r="G596" s="528">
        <v>0.03</v>
      </c>
      <c r="H596" s="529">
        <f>PRODUCT(D596:G596)</f>
        <v>27</v>
      </c>
      <c r="J596"/>
      <c r="L596"/>
    </row>
    <row r="597" spans="1:12" ht="12.75">
      <c r="A597" s="24"/>
      <c r="B597" s="19" t="s">
        <v>643</v>
      </c>
      <c r="C597" s="27" t="s">
        <v>7</v>
      </c>
      <c r="D597" s="528">
        <f>D591</f>
        <v>108.08240677966101</v>
      </c>
      <c r="E597" s="24">
        <v>1</v>
      </c>
      <c r="F597" s="24">
        <v>1</v>
      </c>
      <c r="G597" s="528">
        <f>1*0.4*0.3</f>
        <v>0.12</v>
      </c>
      <c r="H597" s="529">
        <f>PRODUCT(D597:G597)</f>
        <v>12.96988881355932</v>
      </c>
      <c r="J597"/>
      <c r="L597"/>
    </row>
    <row r="598" spans="1:12" ht="12.75">
      <c r="A598" s="24"/>
      <c r="B598" s="19" t="s">
        <v>205</v>
      </c>
      <c r="C598" s="27" t="s">
        <v>7</v>
      </c>
      <c r="D598" s="528">
        <v>1503</v>
      </c>
      <c r="E598" s="24">
        <v>1</v>
      </c>
      <c r="F598" s="24">
        <v>1</v>
      </c>
      <c r="G598" s="528">
        <f>1*0.4*0.47</f>
        <v>0.188</v>
      </c>
      <c r="H598" s="529">
        <f>PRODUCT(D598:G598)</f>
        <v>282.564</v>
      </c>
      <c r="J598"/>
      <c r="L598"/>
    </row>
    <row r="599" spans="1:12" ht="12.75">
      <c r="A599" s="24"/>
      <c r="B599" s="19" t="s">
        <v>644</v>
      </c>
      <c r="C599" s="27" t="s">
        <v>7</v>
      </c>
      <c r="D599" s="528">
        <f>D593</f>
        <v>414.59</v>
      </c>
      <c r="E599" s="24">
        <v>1</v>
      </c>
      <c r="F599" s="24">
        <v>1</v>
      </c>
      <c r="G599" s="528">
        <f>G598-G597</f>
        <v>0.068</v>
      </c>
      <c r="H599" s="529">
        <f>PRODUCT(D599:G599)</f>
        <v>28.19212</v>
      </c>
      <c r="J599"/>
      <c r="L599"/>
    </row>
    <row r="600" spans="1:12" ht="12.75">
      <c r="A600" s="24"/>
      <c r="B600" s="20"/>
      <c r="C600" s="27"/>
      <c r="D600" s="528"/>
      <c r="E600" s="20"/>
      <c r="F600" s="222"/>
      <c r="G600" s="266"/>
      <c r="H600" s="528">
        <f>SUM(H594:H599)</f>
        <v>453.993197573595</v>
      </c>
      <c r="J600"/>
      <c r="L600"/>
    </row>
    <row r="601" spans="1:12" ht="12.75">
      <c r="A601" s="19"/>
      <c r="B601" s="175" t="s">
        <v>444</v>
      </c>
      <c r="C601" s="22"/>
      <c r="D601" s="23"/>
      <c r="E601" s="24"/>
      <c r="F601" s="29"/>
      <c r="G601" s="25"/>
      <c r="H601" s="23"/>
      <c r="J601"/>
      <c r="L601"/>
    </row>
    <row r="602" spans="1:12" ht="12.75">
      <c r="A602" s="24"/>
      <c r="B602" s="21" t="s">
        <v>204</v>
      </c>
      <c r="C602" s="22" t="s">
        <v>7</v>
      </c>
      <c r="D602" s="23">
        <f>D580</f>
        <v>385.24999999999994</v>
      </c>
      <c r="E602" s="24">
        <v>1</v>
      </c>
      <c r="F602" s="29">
        <v>1</v>
      </c>
      <c r="G602" s="25">
        <f>G605*1.3</f>
        <v>1.3</v>
      </c>
      <c r="H602" s="23">
        <f aca="true" t="shared" si="36" ref="H602:H608">PRODUCT(D602:G602)</f>
        <v>500.82499999999993</v>
      </c>
      <c r="J602"/>
      <c r="L602"/>
    </row>
    <row r="603" spans="1:12" ht="12.75">
      <c r="A603" s="24"/>
      <c r="B603" s="21" t="s">
        <v>47</v>
      </c>
      <c r="C603" s="22" t="s">
        <v>39</v>
      </c>
      <c r="D603" s="23">
        <f>'Lista de recursos'!F11</f>
        <v>2135</v>
      </c>
      <c r="E603" s="24">
        <v>1</v>
      </c>
      <c r="F603" s="29">
        <v>1</v>
      </c>
      <c r="G603" s="25">
        <f>0.18*2.22</f>
        <v>0.3996</v>
      </c>
      <c r="H603" s="23">
        <f t="shared" si="36"/>
        <v>853.1460000000001</v>
      </c>
      <c r="J603"/>
      <c r="L603"/>
    </row>
    <row r="604" spans="1:12" ht="12.75">
      <c r="A604" s="24"/>
      <c r="B604" s="21" t="s">
        <v>649</v>
      </c>
      <c r="C604" s="22" t="s">
        <v>15</v>
      </c>
      <c r="D604" s="23">
        <f>'Lista de recursos'!F75*1.3</f>
        <v>739.3789</v>
      </c>
      <c r="E604" s="24">
        <v>1</v>
      </c>
      <c r="F604" s="29">
        <v>1</v>
      </c>
      <c r="G604" s="25">
        <v>1</v>
      </c>
      <c r="H604" s="23">
        <f t="shared" si="36"/>
        <v>739.3789</v>
      </c>
      <c r="J604"/>
      <c r="L604"/>
    </row>
    <row r="605" spans="1:12" ht="12.75">
      <c r="A605" s="24"/>
      <c r="B605" s="21" t="s">
        <v>205</v>
      </c>
      <c r="C605" s="22" t="s">
        <v>7</v>
      </c>
      <c r="D605" s="23">
        <f>H74</f>
        <v>422.88</v>
      </c>
      <c r="E605" s="24">
        <v>1</v>
      </c>
      <c r="F605" s="29">
        <v>1</v>
      </c>
      <c r="G605" s="25">
        <f>1*1*1</f>
        <v>1</v>
      </c>
      <c r="H605" s="23">
        <f t="shared" si="36"/>
        <v>422.88</v>
      </c>
      <c r="J605"/>
      <c r="L605"/>
    </row>
    <row r="606" spans="1:12" ht="12.75">
      <c r="A606" s="24"/>
      <c r="B606" s="21" t="s">
        <v>68</v>
      </c>
      <c r="C606" s="22" t="s">
        <v>7</v>
      </c>
      <c r="D606" s="23">
        <f>D634</f>
        <v>3159.8192999999997</v>
      </c>
      <c r="E606" s="24">
        <v>1</v>
      </c>
      <c r="F606" s="29">
        <v>1</v>
      </c>
      <c r="G606" s="25">
        <f>1*1*0.1</f>
        <v>0.1</v>
      </c>
      <c r="H606" s="23">
        <f t="shared" si="36"/>
        <v>315.98193</v>
      </c>
      <c r="J606"/>
      <c r="L606"/>
    </row>
    <row r="607" spans="1:12" ht="12.75">
      <c r="A607" s="24"/>
      <c r="B607" s="21" t="s">
        <v>84</v>
      </c>
      <c r="C607" s="22" t="s">
        <v>7</v>
      </c>
      <c r="D607" s="23">
        <f>H239</f>
        <v>7018.594737118644</v>
      </c>
      <c r="E607" s="24">
        <v>1</v>
      </c>
      <c r="F607" s="29">
        <v>1</v>
      </c>
      <c r="G607" s="25">
        <f>0.015*2</f>
        <v>0.03</v>
      </c>
      <c r="H607" s="23">
        <f t="shared" si="36"/>
        <v>210.5578421135593</v>
      </c>
      <c r="J607"/>
      <c r="L607"/>
    </row>
    <row r="608" spans="1:12" ht="12.75">
      <c r="A608" s="24"/>
      <c r="B608" s="21" t="s">
        <v>648</v>
      </c>
      <c r="C608" s="22" t="s">
        <v>8</v>
      </c>
      <c r="D608" s="23">
        <f>H272</f>
        <v>897.68219138988</v>
      </c>
      <c r="E608" s="24">
        <v>1</v>
      </c>
      <c r="F608" s="29">
        <v>1</v>
      </c>
      <c r="G608" s="25">
        <f>4*0.8</f>
        <v>3.2</v>
      </c>
      <c r="H608" s="23">
        <f t="shared" si="36"/>
        <v>2872.583012447616</v>
      </c>
      <c r="J608"/>
      <c r="L608"/>
    </row>
    <row r="609" spans="1:12" ht="12.75">
      <c r="A609" s="24"/>
      <c r="B609" s="21"/>
      <c r="C609" s="22"/>
      <c r="D609" s="23"/>
      <c r="E609" s="24"/>
      <c r="F609" s="29"/>
      <c r="G609" s="25"/>
      <c r="H609" s="23">
        <f>SUM(H602:H608)</f>
        <v>5915.352684561176</v>
      </c>
      <c r="J609"/>
      <c r="L609"/>
    </row>
    <row r="610" spans="1:12" ht="12.75">
      <c r="A610" s="24"/>
      <c r="B610" s="175" t="s">
        <v>464</v>
      </c>
      <c r="C610" s="22"/>
      <c r="D610" s="23"/>
      <c r="E610" s="24"/>
      <c r="F610" s="29"/>
      <c r="G610" s="25"/>
      <c r="H610" s="23"/>
      <c r="J610"/>
      <c r="L610"/>
    </row>
    <row r="611" spans="1:12" ht="12.75">
      <c r="A611" s="24"/>
      <c r="B611" s="21" t="s">
        <v>204</v>
      </c>
      <c r="C611" s="22" t="s">
        <v>7</v>
      </c>
      <c r="D611" s="23">
        <f>D602</f>
        <v>385.24999999999994</v>
      </c>
      <c r="E611" s="24">
        <v>1</v>
      </c>
      <c r="F611" s="29">
        <v>1</v>
      </c>
      <c r="G611" s="25">
        <f>G614*1.3</f>
        <v>0.6369999999999999</v>
      </c>
      <c r="H611" s="23">
        <f aca="true" t="shared" si="37" ref="H611:H617">PRODUCT(D611:G611)</f>
        <v>245.40424999999993</v>
      </c>
      <c r="J611"/>
      <c r="L611"/>
    </row>
    <row r="612" spans="1:12" ht="12.75">
      <c r="A612" s="24"/>
      <c r="B612" s="21" t="s">
        <v>47</v>
      </c>
      <c r="C612" s="22" t="s">
        <v>39</v>
      </c>
      <c r="D612" s="23">
        <f aca="true" t="shared" si="38" ref="D612:D617">D603</f>
        <v>2135</v>
      </c>
      <c r="E612" s="24">
        <v>1</v>
      </c>
      <c r="F612" s="29">
        <v>1</v>
      </c>
      <c r="G612" s="25">
        <f>0.18*2.22</f>
        <v>0.3996</v>
      </c>
      <c r="H612" s="23">
        <f t="shared" si="37"/>
        <v>853.1460000000001</v>
      </c>
      <c r="J612"/>
      <c r="L612"/>
    </row>
    <row r="613" spans="1:12" ht="12.75">
      <c r="A613" s="24"/>
      <c r="B613" s="21" t="s">
        <v>649</v>
      </c>
      <c r="C613" s="22" t="s">
        <v>15</v>
      </c>
      <c r="D613" s="23">
        <f t="shared" si="38"/>
        <v>739.3789</v>
      </c>
      <c r="E613" s="24">
        <v>1</v>
      </c>
      <c r="F613" s="29">
        <v>1</v>
      </c>
      <c r="G613" s="25">
        <v>1</v>
      </c>
      <c r="H613" s="23">
        <f t="shared" si="37"/>
        <v>739.3789</v>
      </c>
      <c r="J613"/>
      <c r="L613"/>
    </row>
    <row r="614" spans="1:12" ht="12.75">
      <c r="A614" s="24"/>
      <c r="B614" s="21" t="s">
        <v>205</v>
      </c>
      <c r="C614" s="22" t="s">
        <v>7</v>
      </c>
      <c r="D614" s="23">
        <f t="shared" si="38"/>
        <v>422.88</v>
      </c>
      <c r="E614" s="24">
        <v>1</v>
      </c>
      <c r="F614" s="29">
        <v>1</v>
      </c>
      <c r="G614" s="25">
        <f>0.7*0.7*1</f>
        <v>0.48999999999999994</v>
      </c>
      <c r="H614" s="23">
        <f t="shared" si="37"/>
        <v>207.21119999999996</v>
      </c>
      <c r="J614"/>
      <c r="L614"/>
    </row>
    <row r="615" spans="1:12" ht="12.75">
      <c r="A615" s="24"/>
      <c r="B615" s="21" t="s">
        <v>68</v>
      </c>
      <c r="C615" s="22" t="s">
        <v>7</v>
      </c>
      <c r="D615" s="23">
        <f t="shared" si="38"/>
        <v>3159.8192999999997</v>
      </c>
      <c r="E615" s="24">
        <v>1</v>
      </c>
      <c r="F615" s="29">
        <v>1</v>
      </c>
      <c r="G615" s="25">
        <f>1*1*0.1</f>
        <v>0.1</v>
      </c>
      <c r="H615" s="23">
        <f t="shared" si="37"/>
        <v>315.98193</v>
      </c>
      <c r="J615"/>
      <c r="L615"/>
    </row>
    <row r="616" spans="1:12" ht="12.75">
      <c r="A616" s="24"/>
      <c r="B616" s="21" t="s">
        <v>84</v>
      </c>
      <c r="C616" s="22" t="s">
        <v>7</v>
      </c>
      <c r="D616" s="23">
        <f t="shared" si="38"/>
        <v>7018.594737118644</v>
      </c>
      <c r="E616" s="24">
        <v>1</v>
      </c>
      <c r="F616" s="29">
        <v>1</v>
      </c>
      <c r="G616" s="25">
        <f>0.015*2</f>
        <v>0.03</v>
      </c>
      <c r="H616" s="23">
        <f t="shared" si="37"/>
        <v>210.5578421135593</v>
      </c>
      <c r="J616"/>
      <c r="L616"/>
    </row>
    <row r="617" spans="1:12" ht="12.75">
      <c r="A617" s="24"/>
      <c r="B617" s="21" t="s">
        <v>648</v>
      </c>
      <c r="C617" s="22" t="s">
        <v>8</v>
      </c>
      <c r="D617" s="23">
        <f t="shared" si="38"/>
        <v>897.68219138988</v>
      </c>
      <c r="E617" s="24">
        <v>1.12</v>
      </c>
      <c r="F617" s="29">
        <v>1</v>
      </c>
      <c r="G617" s="25">
        <f>3.2*0.8</f>
        <v>2.5600000000000005</v>
      </c>
      <c r="H617" s="23">
        <f t="shared" si="37"/>
        <v>2573.8343791530647</v>
      </c>
      <c r="J617"/>
      <c r="L617"/>
    </row>
    <row r="618" spans="1:12" ht="12.75">
      <c r="A618" s="24"/>
      <c r="B618" s="21"/>
      <c r="C618" s="22"/>
      <c r="D618" s="23"/>
      <c r="E618" s="24"/>
      <c r="F618" s="29"/>
      <c r="G618" s="25"/>
      <c r="H618" s="23">
        <f>SUM(H611:H617)</f>
        <v>5145.5145012666235</v>
      </c>
      <c r="J618"/>
      <c r="L618"/>
    </row>
    <row r="619" spans="1:12" ht="12.75">
      <c r="A619" s="24"/>
      <c r="B619" s="175" t="s">
        <v>465</v>
      </c>
      <c r="C619" s="22"/>
      <c r="D619" s="23"/>
      <c r="E619" s="24"/>
      <c r="F619" s="29"/>
      <c r="G619" s="25"/>
      <c r="H619" s="23"/>
      <c r="J619"/>
      <c r="L619"/>
    </row>
    <row r="620" spans="1:12" ht="12.75">
      <c r="A620" s="24"/>
      <c r="B620" s="21" t="s">
        <v>204</v>
      </c>
      <c r="C620" s="22" t="s">
        <v>7</v>
      </c>
      <c r="D620" s="23">
        <f>D630</f>
        <v>385.24999999999994</v>
      </c>
      <c r="E620" s="24">
        <v>1</v>
      </c>
      <c r="F620" s="29">
        <v>1</v>
      </c>
      <c r="G620" s="25">
        <f>G623*1.3</f>
        <v>0.6369999999999999</v>
      </c>
      <c r="H620" s="23">
        <f aca="true" t="shared" si="39" ref="H620:H626">PRODUCT(D620:G620)</f>
        <v>245.40424999999993</v>
      </c>
      <c r="J620"/>
      <c r="L620"/>
    </row>
    <row r="621" spans="1:12" ht="12.75">
      <c r="A621" s="24"/>
      <c r="B621" s="21" t="s">
        <v>47</v>
      </c>
      <c r="C621" s="22" t="s">
        <v>39</v>
      </c>
      <c r="D621" s="23">
        <f>D631</f>
        <v>2135</v>
      </c>
      <c r="E621" s="24">
        <v>1</v>
      </c>
      <c r="F621" s="29">
        <v>1</v>
      </c>
      <c r="G621" s="25">
        <v>0.3683</v>
      </c>
      <c r="H621" s="23">
        <f t="shared" si="39"/>
        <v>786.3205</v>
      </c>
      <c r="J621"/>
      <c r="L621"/>
    </row>
    <row r="622" spans="1:12" ht="12.75">
      <c r="A622" s="24"/>
      <c r="B622" s="21" t="s">
        <v>16</v>
      </c>
      <c r="C622" s="22" t="s">
        <v>15</v>
      </c>
      <c r="D622" s="23">
        <v>5800</v>
      </c>
      <c r="E622" s="24">
        <v>1</v>
      </c>
      <c r="F622" s="29">
        <v>1</v>
      </c>
      <c r="G622" s="25">
        <v>1</v>
      </c>
      <c r="H622" s="23">
        <f t="shared" si="39"/>
        <v>5800</v>
      </c>
      <c r="J622"/>
      <c r="L622"/>
    </row>
    <row r="623" spans="1:12" ht="12.75">
      <c r="A623" s="24"/>
      <c r="B623" s="21" t="s">
        <v>205</v>
      </c>
      <c r="C623" s="22" t="s">
        <v>7</v>
      </c>
      <c r="D623" s="23">
        <f>D633</f>
        <v>422.88</v>
      </c>
      <c r="E623" s="24">
        <v>1</v>
      </c>
      <c r="F623" s="29">
        <v>1</v>
      </c>
      <c r="G623" s="25">
        <f>0.7*0.7</f>
        <v>0.48999999999999994</v>
      </c>
      <c r="H623" s="23">
        <f t="shared" si="39"/>
        <v>207.21119999999996</v>
      </c>
      <c r="J623"/>
      <c r="L623"/>
    </row>
    <row r="624" spans="1:12" ht="12.75">
      <c r="A624" s="24"/>
      <c r="B624" s="21" t="s">
        <v>68</v>
      </c>
      <c r="C624" s="22" t="s">
        <v>7</v>
      </c>
      <c r="D624" s="23">
        <f>D634</f>
        <v>3159.8192999999997</v>
      </c>
      <c r="E624" s="24">
        <v>1</v>
      </c>
      <c r="F624" s="29">
        <v>1</v>
      </c>
      <c r="G624" s="25">
        <v>0.288</v>
      </c>
      <c r="H624" s="23">
        <f t="shared" si="39"/>
        <v>910.0279583999999</v>
      </c>
      <c r="J624"/>
      <c r="L624"/>
    </row>
    <row r="625" spans="1:12" ht="12.75">
      <c r="A625" s="24"/>
      <c r="B625" s="21" t="s">
        <v>84</v>
      </c>
      <c r="C625" s="22" t="s">
        <v>7</v>
      </c>
      <c r="D625" s="23">
        <f>D635</f>
        <v>7018.594737118644</v>
      </c>
      <c r="E625" s="24">
        <v>1</v>
      </c>
      <c r="F625" s="29">
        <v>1</v>
      </c>
      <c r="G625" s="25">
        <v>0.025</v>
      </c>
      <c r="H625" s="23">
        <f t="shared" si="39"/>
        <v>175.4648684279661</v>
      </c>
      <c r="J625"/>
      <c r="L625"/>
    </row>
    <row r="626" spans="1:12" ht="12.75">
      <c r="A626" s="24"/>
      <c r="B626" s="21" t="s">
        <v>648</v>
      </c>
      <c r="C626" s="22" t="s">
        <v>8</v>
      </c>
      <c r="D626" s="23">
        <f>D636</f>
        <v>897.68219138988</v>
      </c>
      <c r="E626" s="24">
        <v>1</v>
      </c>
      <c r="F626" s="29">
        <v>1</v>
      </c>
      <c r="G626" s="25">
        <v>6</v>
      </c>
      <c r="H626" s="23">
        <f t="shared" si="39"/>
        <v>5386.09314833928</v>
      </c>
      <c r="J626"/>
      <c r="L626"/>
    </row>
    <row r="627" spans="1:12" ht="15" customHeight="1">
      <c r="A627" s="24"/>
      <c r="B627" s="21"/>
      <c r="C627" s="22"/>
      <c r="D627" s="23"/>
      <c r="E627" s="24"/>
      <c r="F627" s="29"/>
      <c r="G627" s="25"/>
      <c r="H627" s="502">
        <f>SUM(H620:H626)</f>
        <v>13510.521925167246</v>
      </c>
      <c r="J627"/>
      <c r="L627"/>
    </row>
    <row r="628" spans="1:12" ht="12.75">
      <c r="A628" s="24"/>
      <c r="B628" s="21"/>
      <c r="C628" s="22"/>
      <c r="D628" s="23"/>
      <c r="E628" s="24"/>
      <c r="F628" s="29"/>
      <c r="G628" s="25"/>
      <c r="H628" s="23"/>
      <c r="J628"/>
      <c r="L628"/>
    </row>
    <row r="629" spans="1:12" ht="12.75">
      <c r="A629" s="19"/>
      <c r="B629" s="175" t="s">
        <v>331</v>
      </c>
      <c r="C629" s="22"/>
      <c r="D629" s="23"/>
      <c r="E629" s="24"/>
      <c r="F629" s="29"/>
      <c r="G629" s="25"/>
      <c r="H629" s="23"/>
      <c r="J629"/>
      <c r="L629"/>
    </row>
    <row r="630" spans="1:12" ht="12.75">
      <c r="A630" s="24"/>
      <c r="B630" s="21" t="s">
        <v>204</v>
      </c>
      <c r="C630" s="22" t="s">
        <v>7</v>
      </c>
      <c r="D630" s="23">
        <f>D602</f>
        <v>385.24999999999994</v>
      </c>
      <c r="E630" s="24">
        <v>1</v>
      </c>
      <c r="F630" s="29">
        <v>1</v>
      </c>
      <c r="G630" s="25">
        <f>G633*1.3</f>
        <v>2.5479999999999996</v>
      </c>
      <c r="H630" s="23">
        <f aca="true" t="shared" si="40" ref="H630:H636">PRODUCT(D630:G630)</f>
        <v>981.6169999999997</v>
      </c>
      <c r="J630"/>
      <c r="L630"/>
    </row>
    <row r="631" spans="1:12" ht="12.75">
      <c r="A631" s="24"/>
      <c r="B631" s="21" t="s">
        <v>47</v>
      </c>
      <c r="C631" s="22" t="s">
        <v>39</v>
      </c>
      <c r="D631" s="23">
        <f>D603</f>
        <v>2135</v>
      </c>
      <c r="E631" s="24">
        <v>1</v>
      </c>
      <c r="F631" s="29">
        <v>1</v>
      </c>
      <c r="G631" s="25">
        <v>0.361</v>
      </c>
      <c r="H631" s="23">
        <f t="shared" si="40"/>
        <v>770.735</v>
      </c>
      <c r="J631"/>
      <c r="L631"/>
    </row>
    <row r="632" spans="1:12" ht="12.75">
      <c r="A632" s="24"/>
      <c r="B632" s="21" t="s">
        <v>16</v>
      </c>
      <c r="C632" s="22" t="s">
        <v>15</v>
      </c>
      <c r="D632" s="23">
        <v>1287.8</v>
      </c>
      <c r="E632" s="24">
        <v>1</v>
      </c>
      <c r="F632" s="29">
        <v>1</v>
      </c>
      <c r="G632" s="25">
        <v>1</v>
      </c>
      <c r="H632" s="23">
        <f t="shared" si="40"/>
        <v>1287.8</v>
      </c>
      <c r="J632"/>
      <c r="L632"/>
    </row>
    <row r="633" spans="1:12" ht="12.75">
      <c r="A633" s="24"/>
      <c r="B633" s="21" t="s">
        <v>205</v>
      </c>
      <c r="C633" s="22" t="s">
        <v>7</v>
      </c>
      <c r="D633" s="23">
        <f>D605</f>
        <v>422.88</v>
      </c>
      <c r="E633" s="24">
        <v>1</v>
      </c>
      <c r="F633" s="29">
        <v>1</v>
      </c>
      <c r="G633" s="25">
        <f>1.4*1.4</f>
        <v>1.9599999999999997</v>
      </c>
      <c r="H633" s="23">
        <f t="shared" si="40"/>
        <v>828.8447999999999</v>
      </c>
      <c r="J633"/>
      <c r="L633"/>
    </row>
    <row r="634" spans="1:12" ht="12.75">
      <c r="A634" s="24"/>
      <c r="B634" s="21" t="s">
        <v>68</v>
      </c>
      <c r="C634" s="22" t="s">
        <v>7</v>
      </c>
      <c r="D634" s="23">
        <f>H209</f>
        <v>3159.8192999999997</v>
      </c>
      <c r="E634" s="24">
        <v>1</v>
      </c>
      <c r="F634" s="29">
        <v>1</v>
      </c>
      <c r="G634" s="25">
        <v>0.288</v>
      </c>
      <c r="H634" s="23">
        <f t="shared" si="40"/>
        <v>910.0279583999999</v>
      </c>
      <c r="J634"/>
      <c r="L634"/>
    </row>
    <row r="635" spans="1:12" ht="12.75">
      <c r="A635" s="24"/>
      <c r="B635" s="21" t="s">
        <v>84</v>
      </c>
      <c r="C635" s="22" t="s">
        <v>7</v>
      </c>
      <c r="D635" s="23">
        <f>D607</f>
        <v>7018.594737118644</v>
      </c>
      <c r="E635" s="24">
        <v>1</v>
      </c>
      <c r="F635" s="29">
        <v>1</v>
      </c>
      <c r="G635" s="25">
        <v>0.025</v>
      </c>
      <c r="H635" s="23">
        <f t="shared" si="40"/>
        <v>175.4648684279661</v>
      </c>
      <c r="J635"/>
      <c r="L635"/>
    </row>
    <row r="636" spans="1:12" ht="12.75">
      <c r="A636" s="24"/>
      <c r="B636" s="21" t="s">
        <v>29</v>
      </c>
      <c r="C636" s="22" t="s">
        <v>8</v>
      </c>
      <c r="D636" s="23">
        <f>D608</f>
        <v>897.68219138988</v>
      </c>
      <c r="E636" s="24">
        <v>1</v>
      </c>
      <c r="F636" s="29">
        <v>1</v>
      </c>
      <c r="G636" s="25">
        <v>4</v>
      </c>
      <c r="H636" s="23">
        <f t="shared" si="40"/>
        <v>3590.72876555952</v>
      </c>
      <c r="J636"/>
      <c r="L636"/>
    </row>
    <row r="637" spans="1:12" ht="12.75">
      <c r="A637" s="24"/>
      <c r="B637" s="21"/>
      <c r="C637" s="22"/>
      <c r="D637" s="23"/>
      <c r="E637" s="24"/>
      <c r="F637" s="29"/>
      <c r="G637" s="25"/>
      <c r="H637" s="23">
        <f>SUM(H630:H636)</f>
        <v>8545.218392387487</v>
      </c>
      <c r="J637"/>
      <c r="L637"/>
    </row>
    <row r="638" spans="1:12" ht="12.75">
      <c r="A638" s="19"/>
      <c r="B638" s="175" t="s">
        <v>346</v>
      </c>
      <c r="C638" s="22"/>
      <c r="D638" s="23"/>
      <c r="E638" s="24"/>
      <c r="F638" s="29"/>
      <c r="G638" s="25"/>
      <c r="H638" s="23"/>
      <c r="L638"/>
    </row>
    <row r="639" spans="1:12" ht="12.75">
      <c r="A639" s="24"/>
      <c r="B639" s="21" t="s">
        <v>347</v>
      </c>
      <c r="C639" s="22" t="s">
        <v>15</v>
      </c>
      <c r="D639" s="23">
        <f>'Lista de recursos'!F224</f>
        <v>1047.7</v>
      </c>
      <c r="E639" s="24">
        <v>1</v>
      </c>
      <c r="F639" s="29">
        <v>1</v>
      </c>
      <c r="G639" s="25">
        <f>1/6.1</f>
        <v>0.1639344262295082</v>
      </c>
      <c r="H639" s="23">
        <f>PRODUCT(D639:G639)</f>
        <v>171.75409836065577</v>
      </c>
      <c r="L639"/>
    </row>
    <row r="640" spans="1:12" ht="12.75">
      <c r="A640" s="24"/>
      <c r="B640" s="21" t="s">
        <v>162</v>
      </c>
      <c r="C640" s="22" t="s">
        <v>15</v>
      </c>
      <c r="D640" s="23">
        <f>'Lista de recursos'!F90</f>
        <v>286.68</v>
      </c>
      <c r="E640" s="24">
        <v>1</v>
      </c>
      <c r="F640" s="29">
        <v>1</v>
      </c>
      <c r="G640" s="25">
        <f>1/6.1</f>
        <v>0.1639344262295082</v>
      </c>
      <c r="H640" s="23">
        <f>PRODUCT(D640:G640)</f>
        <v>46.99672131147542</v>
      </c>
      <c r="L640"/>
    </row>
    <row r="641" spans="1:12" ht="12.75">
      <c r="A641" s="24"/>
      <c r="B641" s="21" t="s">
        <v>163</v>
      </c>
      <c r="C641" s="22" t="s">
        <v>15</v>
      </c>
      <c r="D641" s="23">
        <f>'Lista de recursos'!F93</f>
        <v>31.342329999999997</v>
      </c>
      <c r="E641" s="24">
        <v>1</v>
      </c>
      <c r="F641" s="29">
        <v>1</v>
      </c>
      <c r="G641" s="25">
        <f>2/6.1</f>
        <v>0.3278688524590164</v>
      </c>
      <c r="H641" s="23">
        <f>PRODUCT(D641:G641)</f>
        <v>10.276173770491804</v>
      </c>
      <c r="L641"/>
    </row>
    <row r="642" spans="1:12" ht="12.75">
      <c r="A642" s="24"/>
      <c r="B642" s="21" t="s">
        <v>283</v>
      </c>
      <c r="C642" s="22" t="s">
        <v>15</v>
      </c>
      <c r="D642" s="23">
        <f>D566</f>
        <v>3190</v>
      </c>
      <c r="E642" s="24">
        <v>1</v>
      </c>
      <c r="F642" s="29">
        <v>1</v>
      </c>
      <c r="G642" s="25">
        <f>0.043/6.1</f>
        <v>0.007049180327868852</v>
      </c>
      <c r="H642" s="23">
        <f>PRODUCT(D642:G642)</f>
        <v>22.48688524590164</v>
      </c>
      <c r="L642"/>
    </row>
    <row r="643" spans="1:12" ht="12.75">
      <c r="A643" s="24"/>
      <c r="B643" s="21"/>
      <c r="C643" s="22"/>
      <c r="D643" s="23"/>
      <c r="E643" s="24"/>
      <c r="F643" s="29"/>
      <c r="G643" s="25"/>
      <c r="H643" s="23">
        <f>SUM(H639:H642)</f>
        <v>251.51387868852464</v>
      </c>
      <c r="L643"/>
    </row>
    <row r="644" spans="1:12" ht="12.75">
      <c r="A644" s="24"/>
      <c r="B644" s="175" t="s">
        <v>754</v>
      </c>
      <c r="C644" s="22"/>
      <c r="D644" s="23"/>
      <c r="E644" s="24"/>
      <c r="F644" s="29"/>
      <c r="G644" s="25"/>
      <c r="H644" s="23"/>
      <c r="L644"/>
    </row>
    <row r="645" spans="1:12" ht="12.75">
      <c r="A645" s="24"/>
      <c r="B645" s="21" t="s">
        <v>344</v>
      </c>
      <c r="C645" s="22" t="s">
        <v>15</v>
      </c>
      <c r="D645" s="23">
        <f>D639</f>
        <v>1047.7</v>
      </c>
      <c r="E645" s="24">
        <v>1</v>
      </c>
      <c r="F645" s="29">
        <v>1</v>
      </c>
      <c r="G645" s="25">
        <v>1</v>
      </c>
      <c r="H645" s="23">
        <f>PRODUCT(D645:G645)</f>
        <v>1047.7</v>
      </c>
      <c r="L645"/>
    </row>
    <row r="646" spans="1:12" ht="12.75">
      <c r="A646" s="24"/>
      <c r="B646" s="21" t="s">
        <v>212</v>
      </c>
      <c r="C646" s="22" t="s">
        <v>15</v>
      </c>
      <c r="D646" s="23">
        <f>'Lista de recursos'!F91</f>
        <v>582.92</v>
      </c>
      <c r="E646" s="24">
        <v>1</v>
      </c>
      <c r="F646" s="29">
        <v>1</v>
      </c>
      <c r="G646" s="25">
        <v>1</v>
      </c>
      <c r="H646" s="23">
        <f>PRODUCT(D646:G646)</f>
        <v>582.92</v>
      </c>
      <c r="L646"/>
    </row>
    <row r="647" spans="1:12" ht="12.75">
      <c r="A647" s="24"/>
      <c r="B647" s="21" t="s">
        <v>755</v>
      </c>
      <c r="C647" s="22" t="s">
        <v>15</v>
      </c>
      <c r="D647" s="23">
        <f>'Lista de recursos'!F94</f>
        <v>106.84868499999999</v>
      </c>
      <c r="E647" s="24">
        <v>1</v>
      </c>
      <c r="F647" s="29">
        <v>1</v>
      </c>
      <c r="G647" s="25">
        <v>2</v>
      </c>
      <c r="H647" s="23">
        <f>PRODUCT(D647:G647)</f>
        <v>213.69736999999998</v>
      </c>
      <c r="L647"/>
    </row>
    <row r="648" spans="1:12" ht="12.75">
      <c r="A648" s="24"/>
      <c r="B648" s="21" t="s">
        <v>283</v>
      </c>
      <c r="C648" s="22" t="s">
        <v>15</v>
      </c>
      <c r="D648" s="23">
        <f>D642</f>
        <v>3190</v>
      </c>
      <c r="E648" s="24">
        <v>1</v>
      </c>
      <c r="F648" s="29">
        <v>1</v>
      </c>
      <c r="G648" s="25">
        <f>0.043/6.1</f>
        <v>0.007049180327868852</v>
      </c>
      <c r="H648" s="23">
        <f>PRODUCT(D648:G648)</f>
        <v>22.48688524590164</v>
      </c>
      <c r="L648"/>
    </row>
    <row r="649" spans="1:12" ht="12.75">
      <c r="A649" s="24"/>
      <c r="B649" s="21"/>
      <c r="C649" s="22"/>
      <c r="D649" s="23"/>
      <c r="E649" s="24"/>
      <c r="F649" s="29"/>
      <c r="G649" s="25"/>
      <c r="H649" s="23">
        <f>SUM(H645:H648)</f>
        <v>1866.8042552459015</v>
      </c>
      <c r="J649">
        <v>1864.0330000000001</v>
      </c>
      <c r="L649"/>
    </row>
    <row r="650" spans="1:12" ht="12.75" customHeight="1">
      <c r="A650" s="19"/>
      <c r="B650" s="242" t="s">
        <v>370</v>
      </c>
      <c r="C650" s="22"/>
      <c r="D650" s="23"/>
      <c r="E650" s="24"/>
      <c r="F650" s="29"/>
      <c r="G650" s="25"/>
      <c r="H650" s="23"/>
      <c r="J650"/>
      <c r="L650"/>
    </row>
    <row r="651" spans="1:12" ht="12.75">
      <c r="A651" s="24"/>
      <c r="B651" s="243" t="s">
        <v>370</v>
      </c>
      <c r="C651" s="22" t="s">
        <v>15</v>
      </c>
      <c r="D651" s="23">
        <v>450</v>
      </c>
      <c r="E651" s="24">
        <v>1</v>
      </c>
      <c r="F651" s="29">
        <v>1</v>
      </c>
      <c r="G651" s="25">
        <v>1</v>
      </c>
      <c r="H651" s="23">
        <f>PRODUCT(D651:G651)</f>
        <v>450</v>
      </c>
      <c r="J651"/>
      <c r="L651"/>
    </row>
    <row r="652" spans="1:12" ht="12.75">
      <c r="A652" s="24"/>
      <c r="B652" s="21"/>
      <c r="C652" s="22"/>
      <c r="D652" s="23"/>
      <c r="E652" s="24"/>
      <c r="F652" s="29"/>
      <c r="G652" s="25"/>
      <c r="H652" s="23">
        <f>SUM(H651:H651)</f>
        <v>450</v>
      </c>
      <c r="J652"/>
      <c r="L652"/>
    </row>
    <row r="653" spans="1:12" ht="12.75">
      <c r="A653" s="19"/>
      <c r="B653" s="77" t="s">
        <v>423</v>
      </c>
      <c r="C653" s="78"/>
      <c r="D653" s="78"/>
      <c r="E653" s="78"/>
      <c r="F653" s="78"/>
      <c r="G653" s="78"/>
      <c r="H653" s="20"/>
      <c r="L653"/>
    </row>
    <row r="654" spans="1:12" ht="12.75">
      <c r="A654" s="19"/>
      <c r="B654" s="79" t="s">
        <v>359</v>
      </c>
      <c r="C654" s="80" t="s">
        <v>360</v>
      </c>
      <c r="D654" s="81">
        <f>'Lista de recursos'!F28</f>
        <v>270</v>
      </c>
      <c r="E654" s="24">
        <v>1</v>
      </c>
      <c r="F654" s="29">
        <v>1.1</v>
      </c>
      <c r="G654" s="82">
        <v>1</v>
      </c>
      <c r="H654" s="23">
        <f aca="true" t="shared" si="41" ref="H654:H661">PRODUCT(D654:G654)</f>
        <v>297</v>
      </c>
      <c r="L654"/>
    </row>
    <row r="655" spans="1:12" ht="12.75">
      <c r="A655" s="19"/>
      <c r="B655" s="79" t="s">
        <v>361</v>
      </c>
      <c r="C655" s="80" t="s">
        <v>358</v>
      </c>
      <c r="D655" s="81">
        <f>'Lista de recursos'!F25</f>
        <v>24</v>
      </c>
      <c r="E655" s="24">
        <v>1</v>
      </c>
      <c r="F655" s="29">
        <v>1.1</v>
      </c>
      <c r="G655" s="82">
        <v>8</v>
      </c>
      <c r="H655" s="23">
        <f t="shared" si="41"/>
        <v>211.20000000000002</v>
      </c>
      <c r="L655"/>
    </row>
    <row r="656" spans="1:12" ht="12.75">
      <c r="A656" s="19"/>
      <c r="B656" s="79" t="s">
        <v>563</v>
      </c>
      <c r="C656" s="80" t="s">
        <v>1</v>
      </c>
      <c r="D656" s="81">
        <v>2435.5</v>
      </c>
      <c r="E656" s="24">
        <v>1</v>
      </c>
      <c r="F656" s="29">
        <v>1</v>
      </c>
      <c r="G656" s="82">
        <v>1</v>
      </c>
      <c r="H656" s="23">
        <f t="shared" si="41"/>
        <v>2435.5</v>
      </c>
      <c r="L656"/>
    </row>
    <row r="657" spans="1:12" ht="12.75">
      <c r="A657" s="19"/>
      <c r="B657" s="79" t="s">
        <v>362</v>
      </c>
      <c r="C657" s="80" t="s">
        <v>342</v>
      </c>
      <c r="D657" s="81">
        <f>H221</f>
        <v>4298.810191199999</v>
      </c>
      <c r="E657" s="24">
        <v>1</v>
      </c>
      <c r="F657" s="29">
        <v>1.1</v>
      </c>
      <c r="G657" s="82">
        <v>0.04</v>
      </c>
      <c r="H657" s="23">
        <f t="shared" si="41"/>
        <v>189.14764841279998</v>
      </c>
      <c r="L657"/>
    </row>
    <row r="658" spans="1:12" ht="12.75">
      <c r="A658" s="19"/>
      <c r="B658" s="79" t="s">
        <v>363</v>
      </c>
      <c r="C658" s="80" t="s">
        <v>342</v>
      </c>
      <c r="D658" s="81">
        <f>D443</f>
        <v>5095.312939318645</v>
      </c>
      <c r="E658" s="24">
        <v>1</v>
      </c>
      <c r="F658" s="29">
        <v>1.1</v>
      </c>
      <c r="G658" s="82">
        <v>0.09</v>
      </c>
      <c r="H658" s="23">
        <f t="shared" si="41"/>
        <v>504.4359809925458</v>
      </c>
      <c r="L658"/>
    </row>
    <row r="659" spans="1:12" ht="12.75">
      <c r="A659" s="19"/>
      <c r="B659" s="79" t="s">
        <v>364</v>
      </c>
      <c r="C659" s="80" t="s">
        <v>342</v>
      </c>
      <c r="D659" s="81">
        <f>H209</f>
        <v>3159.8192999999997</v>
      </c>
      <c r="E659" s="24">
        <v>1</v>
      </c>
      <c r="F659" s="29">
        <v>1.1</v>
      </c>
      <c r="G659" s="82">
        <f>1.5*0.6*0.1</f>
        <v>0.09</v>
      </c>
      <c r="H659" s="23">
        <f t="shared" si="41"/>
        <v>312.8221107</v>
      </c>
      <c r="L659"/>
    </row>
    <row r="660" spans="1:12" ht="12.75">
      <c r="A660" s="19"/>
      <c r="B660" s="79" t="s">
        <v>366</v>
      </c>
      <c r="C660" s="80" t="s">
        <v>343</v>
      </c>
      <c r="D660" s="81">
        <f>H447</f>
        <v>1136.609004386373</v>
      </c>
      <c r="E660" s="24">
        <v>1</v>
      </c>
      <c r="F660" s="29">
        <v>1.1</v>
      </c>
      <c r="G660" s="82">
        <f>1.5*0.6+1.5*0.4*2</f>
        <v>2.1</v>
      </c>
      <c r="H660" s="23">
        <f t="shared" si="41"/>
        <v>2625.566800132522</v>
      </c>
      <c r="L660"/>
    </row>
    <row r="661" spans="1:12" ht="12.75">
      <c r="A661" s="19"/>
      <c r="B661" s="79" t="s">
        <v>365</v>
      </c>
      <c r="C661" s="80" t="s">
        <v>358</v>
      </c>
      <c r="D661" s="81">
        <f>'Analisis de costos'!H552</f>
        <v>1452.920425</v>
      </c>
      <c r="E661" s="24">
        <v>1</v>
      </c>
      <c r="F661" s="29">
        <v>1</v>
      </c>
      <c r="G661" s="82">
        <v>1</v>
      </c>
      <c r="H661" s="23">
        <f t="shared" si="41"/>
        <v>1452.920425</v>
      </c>
      <c r="J661"/>
      <c r="L661"/>
    </row>
    <row r="662" spans="1:12" ht="12.75">
      <c r="A662" s="524"/>
      <c r="B662" s="19"/>
      <c r="C662" s="27"/>
      <c r="D662" s="20"/>
      <c r="E662" s="24"/>
      <c r="F662" s="29"/>
      <c r="G662" s="135"/>
      <c r="H662" s="23">
        <f>SUM(H654:H661)</f>
        <v>8028.592965237867</v>
      </c>
      <c r="J662"/>
      <c r="L662"/>
    </row>
    <row r="663" spans="1:12" ht="12.75">
      <c r="A663" s="19"/>
      <c r="B663" s="530" t="s">
        <v>645</v>
      </c>
      <c r="C663" s="27"/>
      <c r="D663" s="528"/>
      <c r="E663" s="20"/>
      <c r="F663" s="222"/>
      <c r="G663" s="266"/>
      <c r="H663" s="528"/>
      <c r="J663"/>
      <c r="L663"/>
    </row>
    <row r="664" spans="1:12" ht="12.75">
      <c r="A664" s="24"/>
      <c r="B664" s="19" t="s">
        <v>646</v>
      </c>
      <c r="C664" s="27" t="s">
        <v>15</v>
      </c>
      <c r="D664" s="528">
        <v>683.35</v>
      </c>
      <c r="E664" s="24">
        <v>1</v>
      </c>
      <c r="F664" s="24">
        <v>1</v>
      </c>
      <c r="G664" s="528">
        <f>3.28/19</f>
        <v>0.1726315789473684</v>
      </c>
      <c r="H664" s="529">
        <f aca="true" t="shared" si="42" ref="H664:H669">PRODUCT(D664:G664)</f>
        <v>117.9677894736842</v>
      </c>
      <c r="J664"/>
      <c r="L664"/>
    </row>
    <row r="665" spans="1:12" ht="12.75">
      <c r="A665" s="24"/>
      <c r="B665" s="19" t="s">
        <v>641</v>
      </c>
      <c r="C665" s="27" t="s">
        <v>7</v>
      </c>
      <c r="D665" s="528">
        <v>900</v>
      </c>
      <c r="E665" s="24">
        <v>1</v>
      </c>
      <c r="F665" s="24">
        <v>1</v>
      </c>
      <c r="G665" s="528">
        <v>0.03</v>
      </c>
      <c r="H665" s="529">
        <f t="shared" si="42"/>
        <v>27</v>
      </c>
      <c r="J665"/>
      <c r="L665"/>
    </row>
    <row r="666" spans="1:12" ht="12.75">
      <c r="A666" s="24"/>
      <c r="B666" s="19" t="s">
        <v>286</v>
      </c>
      <c r="C666" s="27" t="s">
        <v>642</v>
      </c>
      <c r="D666" s="528">
        <v>3190</v>
      </c>
      <c r="E666" s="24">
        <v>1</v>
      </c>
      <c r="F666" s="24">
        <v>1</v>
      </c>
      <c r="G666" s="528">
        <v>0.001</v>
      </c>
      <c r="H666" s="529">
        <f t="shared" si="42"/>
        <v>3.19</v>
      </c>
      <c r="J666"/>
      <c r="L666"/>
    </row>
    <row r="667" spans="1:12" ht="12.75">
      <c r="A667" s="24"/>
      <c r="B667" s="19" t="s">
        <v>643</v>
      </c>
      <c r="C667" s="27" t="s">
        <v>7</v>
      </c>
      <c r="D667" s="528">
        <v>108.08240677966101</v>
      </c>
      <c r="E667" s="24">
        <v>1</v>
      </c>
      <c r="F667" s="24">
        <v>1</v>
      </c>
      <c r="G667" s="528">
        <v>0.1</v>
      </c>
      <c r="H667" s="529">
        <f t="shared" si="42"/>
        <v>10.808240677966102</v>
      </c>
      <c r="J667"/>
      <c r="L667"/>
    </row>
    <row r="668" spans="1:12" ht="12.75">
      <c r="A668" s="24"/>
      <c r="B668" s="19" t="s">
        <v>205</v>
      </c>
      <c r="C668" s="27" t="s">
        <v>7</v>
      </c>
      <c r="D668" s="528">
        <v>422.88</v>
      </c>
      <c r="E668" s="24">
        <v>1</v>
      </c>
      <c r="F668" s="24">
        <v>1</v>
      </c>
      <c r="G668" s="528">
        <v>0.1623</v>
      </c>
      <c r="H668" s="529">
        <f t="shared" si="42"/>
        <v>68.633424</v>
      </c>
      <c r="J668"/>
      <c r="L668"/>
    </row>
    <row r="669" spans="1:12" ht="12.75">
      <c r="A669" s="24"/>
      <c r="B669" s="19" t="s">
        <v>644</v>
      </c>
      <c r="C669" s="27" t="s">
        <v>7</v>
      </c>
      <c r="D669" s="528">
        <v>414.59</v>
      </c>
      <c r="E669" s="24">
        <v>1</v>
      </c>
      <c r="F669" s="24">
        <v>1</v>
      </c>
      <c r="G669" s="528">
        <f>0.05*1.3</f>
        <v>0.065</v>
      </c>
      <c r="H669" s="529">
        <f t="shared" si="42"/>
        <v>26.948349999999998</v>
      </c>
      <c r="J669"/>
      <c r="L669"/>
    </row>
    <row r="670" spans="1:12" ht="12.75">
      <c r="A670" s="24"/>
      <c r="B670" s="20"/>
      <c r="C670" s="27"/>
      <c r="D670" s="528"/>
      <c r="E670" s="20"/>
      <c r="F670" s="222"/>
      <c r="G670" s="266"/>
      <c r="H670" s="528">
        <f>SUM(H664:H669)</f>
        <v>254.54780415165033</v>
      </c>
      <c r="J670"/>
      <c r="L670"/>
    </row>
    <row r="671" spans="1:12" ht="12.75">
      <c r="A671" s="24"/>
      <c r="B671" s="530" t="s">
        <v>462</v>
      </c>
      <c r="C671" s="27"/>
      <c r="D671" s="528"/>
      <c r="E671" s="20"/>
      <c r="F671" s="222"/>
      <c r="G671" s="266"/>
      <c r="H671" s="528"/>
      <c r="J671"/>
      <c r="L671"/>
    </row>
    <row r="672" spans="1:12" ht="12.75">
      <c r="A672" s="24"/>
      <c r="B672" s="19" t="s">
        <v>759</v>
      </c>
      <c r="C672" s="27" t="s">
        <v>15</v>
      </c>
      <c r="D672" s="528">
        <f>'Lista de recursos'!F138</f>
        <v>3789.33695</v>
      </c>
      <c r="E672" s="24">
        <v>1</v>
      </c>
      <c r="F672" s="29">
        <v>1.1</v>
      </c>
      <c r="G672" s="528">
        <f>3.28/19</f>
        <v>0.1726315789473684</v>
      </c>
      <c r="H672" s="529">
        <f aca="true" t="shared" si="43" ref="H672:H677">PRODUCT(D672:G672)</f>
        <v>719.5751429263158</v>
      </c>
      <c r="J672"/>
      <c r="L672"/>
    </row>
    <row r="673" spans="1:12" ht="12.75">
      <c r="A673" s="24"/>
      <c r="B673" s="19" t="s">
        <v>641</v>
      </c>
      <c r="C673" s="27" t="s">
        <v>7</v>
      </c>
      <c r="D673" s="528">
        <v>900</v>
      </c>
      <c r="E673" s="24">
        <v>1</v>
      </c>
      <c r="F673" s="24">
        <v>1</v>
      </c>
      <c r="G673" s="528">
        <v>0.0399</v>
      </c>
      <c r="H673" s="529">
        <f t="shared" si="43"/>
        <v>35.91</v>
      </c>
      <c r="J673"/>
      <c r="L673"/>
    </row>
    <row r="674" spans="1:12" ht="12.75">
      <c r="A674" s="24"/>
      <c r="B674" s="19" t="s">
        <v>286</v>
      </c>
      <c r="C674" s="27" t="s">
        <v>642</v>
      </c>
      <c r="D674" s="528">
        <v>3190</v>
      </c>
      <c r="E674" s="24">
        <v>1</v>
      </c>
      <c r="F674" s="29">
        <v>1.1</v>
      </c>
      <c r="G674" s="528">
        <v>0.0013</v>
      </c>
      <c r="H674" s="529">
        <f t="shared" si="43"/>
        <v>4.5617</v>
      </c>
      <c r="J674"/>
      <c r="L674"/>
    </row>
    <row r="675" spans="1:12" ht="12.75">
      <c r="A675" s="24"/>
      <c r="B675" s="19" t="s">
        <v>643</v>
      </c>
      <c r="C675" s="27" t="s">
        <v>7</v>
      </c>
      <c r="D675" s="528">
        <v>108.08240677966101</v>
      </c>
      <c r="E675" s="24">
        <v>1</v>
      </c>
      <c r="F675" s="24">
        <v>1</v>
      </c>
      <c r="G675" s="528">
        <v>0.13</v>
      </c>
      <c r="H675" s="529">
        <f t="shared" si="43"/>
        <v>14.050712881355933</v>
      </c>
      <c r="J675"/>
      <c r="L675"/>
    </row>
    <row r="676" spans="1:12" ht="12.75">
      <c r="A676" s="24"/>
      <c r="B676" s="19" t="s">
        <v>205</v>
      </c>
      <c r="C676" s="27" t="s">
        <v>7</v>
      </c>
      <c r="D676" s="528">
        <v>422.88</v>
      </c>
      <c r="E676" s="24">
        <v>1</v>
      </c>
      <c r="F676" s="24">
        <v>1</v>
      </c>
      <c r="G676" s="528">
        <v>0.1923</v>
      </c>
      <c r="H676" s="529">
        <f t="shared" si="43"/>
        <v>81.319824</v>
      </c>
      <c r="J676"/>
      <c r="L676"/>
    </row>
    <row r="677" spans="1:12" ht="12.75">
      <c r="A677" s="24"/>
      <c r="B677" s="19" t="s">
        <v>644</v>
      </c>
      <c r="C677" s="27" t="s">
        <v>7</v>
      </c>
      <c r="D677" s="528">
        <v>414.59</v>
      </c>
      <c r="E677" s="24">
        <v>1</v>
      </c>
      <c r="F677" s="24">
        <v>1</v>
      </c>
      <c r="G677" s="528">
        <f>0.06*1.3</f>
        <v>0.078</v>
      </c>
      <c r="H677" s="529">
        <f t="shared" si="43"/>
        <v>32.33802</v>
      </c>
      <c r="J677"/>
      <c r="L677"/>
    </row>
    <row r="678" spans="1:12" ht="12.75">
      <c r="A678" s="24"/>
      <c r="B678" s="20"/>
      <c r="C678" s="27"/>
      <c r="D678" s="528"/>
      <c r="E678" s="20"/>
      <c r="F678" s="222"/>
      <c r="G678" s="266"/>
      <c r="H678" s="528">
        <f>SUM(H672:H677)</f>
        <v>887.7553998076718</v>
      </c>
      <c r="J678"/>
      <c r="L678"/>
    </row>
    <row r="679" spans="1:12" ht="12.75">
      <c r="A679" s="24"/>
      <c r="B679" s="530" t="s">
        <v>463</v>
      </c>
      <c r="C679" s="27"/>
      <c r="D679" s="528"/>
      <c r="E679" s="20"/>
      <c r="F679" s="222"/>
      <c r="G679" s="266"/>
      <c r="H679" s="528"/>
      <c r="J679"/>
      <c r="L679"/>
    </row>
    <row r="680" spans="1:12" ht="12.75">
      <c r="A680" s="24"/>
      <c r="B680" s="19" t="s">
        <v>760</v>
      </c>
      <c r="C680" s="27" t="s">
        <v>15</v>
      </c>
      <c r="D680" s="528">
        <v>240</v>
      </c>
      <c r="E680" s="24">
        <v>1</v>
      </c>
      <c r="F680" s="29">
        <v>1.1</v>
      </c>
      <c r="G680" s="528">
        <f>3.28/19</f>
        <v>0.1726315789473684</v>
      </c>
      <c r="H680" s="529">
        <f aca="true" t="shared" si="44" ref="H680:H685">PRODUCT(D680:G680)</f>
        <v>45.57473684210526</v>
      </c>
      <c r="J680"/>
      <c r="L680"/>
    </row>
    <row r="681" spans="1:12" ht="12.75">
      <c r="A681" s="24"/>
      <c r="B681" s="19" t="s">
        <v>641</v>
      </c>
      <c r="C681" s="27" t="s">
        <v>7</v>
      </c>
      <c r="D681" s="528">
        <f>D673</f>
        <v>900</v>
      </c>
      <c r="E681" s="24">
        <v>1</v>
      </c>
      <c r="F681" s="24">
        <v>1</v>
      </c>
      <c r="G681" s="528">
        <v>0.0399</v>
      </c>
      <c r="H681" s="529">
        <f t="shared" si="44"/>
        <v>35.91</v>
      </c>
      <c r="J681"/>
      <c r="L681"/>
    </row>
    <row r="682" spans="1:12" ht="12.75">
      <c r="A682" s="24"/>
      <c r="B682" s="19" t="s">
        <v>286</v>
      </c>
      <c r="C682" s="27" t="s">
        <v>642</v>
      </c>
      <c r="D682" s="528">
        <f>D674</f>
        <v>3190</v>
      </c>
      <c r="E682" s="24">
        <v>1</v>
      </c>
      <c r="F682" s="29">
        <v>1.1</v>
      </c>
      <c r="G682" s="528">
        <v>0.0013</v>
      </c>
      <c r="H682" s="529">
        <f t="shared" si="44"/>
        <v>4.5617</v>
      </c>
      <c r="J682"/>
      <c r="L682"/>
    </row>
    <row r="683" spans="1:12" ht="12.75">
      <c r="A683" s="24"/>
      <c r="B683" s="19" t="s">
        <v>643</v>
      </c>
      <c r="C683" s="27" t="s">
        <v>7</v>
      </c>
      <c r="D683" s="528">
        <f>D675</f>
        <v>108.08240677966101</v>
      </c>
      <c r="E683" s="24">
        <v>1</v>
      </c>
      <c r="F683" s="24">
        <v>1</v>
      </c>
      <c r="G683" s="528">
        <v>0.13</v>
      </c>
      <c r="H683" s="529">
        <f t="shared" si="44"/>
        <v>14.050712881355933</v>
      </c>
      <c r="J683"/>
      <c r="L683"/>
    </row>
    <row r="684" spans="1:12" ht="12.75">
      <c r="A684" s="24"/>
      <c r="B684" s="19" t="s">
        <v>205</v>
      </c>
      <c r="C684" s="27" t="s">
        <v>7</v>
      </c>
      <c r="D684" s="528">
        <f>D676</f>
        <v>422.88</v>
      </c>
      <c r="E684" s="24">
        <v>1</v>
      </c>
      <c r="F684" s="24">
        <v>1</v>
      </c>
      <c r="G684" s="528">
        <v>0.1923</v>
      </c>
      <c r="H684" s="529">
        <f t="shared" si="44"/>
        <v>81.319824</v>
      </c>
      <c r="J684"/>
      <c r="L684"/>
    </row>
    <row r="685" spans="1:12" ht="12.75">
      <c r="A685" s="24"/>
      <c r="B685" s="19" t="s">
        <v>644</v>
      </c>
      <c r="C685" s="27" t="s">
        <v>7</v>
      </c>
      <c r="D685" s="528">
        <f>D677</f>
        <v>414.59</v>
      </c>
      <c r="E685" s="24">
        <v>1</v>
      </c>
      <c r="F685" s="24">
        <v>1</v>
      </c>
      <c r="G685" s="528">
        <f>0.06*1.3</f>
        <v>0.078</v>
      </c>
      <c r="H685" s="529">
        <f t="shared" si="44"/>
        <v>32.33802</v>
      </c>
      <c r="J685"/>
      <c r="L685"/>
    </row>
    <row r="686" spans="1:12" ht="12.75">
      <c r="A686" s="24"/>
      <c r="B686" s="20"/>
      <c r="C686" s="27"/>
      <c r="D686" s="528"/>
      <c r="E686" s="20"/>
      <c r="F686" s="222"/>
      <c r="G686" s="266"/>
      <c r="H686" s="528">
        <f>SUM(H680:H685)</f>
        <v>213.75499372346118</v>
      </c>
      <c r="J686">
        <v>213.2683</v>
      </c>
      <c r="L686"/>
    </row>
    <row r="687" spans="1:8" ht="38.25">
      <c r="A687" s="19"/>
      <c r="B687" s="247" t="s">
        <v>521</v>
      </c>
      <c r="C687" s="248" t="s">
        <v>12</v>
      </c>
      <c r="D687" s="222">
        <v>2.7</v>
      </c>
      <c r="E687" s="249"/>
      <c r="F687" s="249"/>
      <c r="G687" s="135"/>
      <c r="H687" s="20"/>
    </row>
    <row r="688" spans="1:8" ht="12.75">
      <c r="A688" s="19"/>
      <c r="B688" s="250" t="s">
        <v>525</v>
      </c>
      <c r="C688" s="251" t="s">
        <v>514</v>
      </c>
      <c r="D688" s="252">
        <v>1207.5</v>
      </c>
      <c r="E688" s="24">
        <v>1</v>
      </c>
      <c r="F688" s="29">
        <v>1</v>
      </c>
      <c r="G688" s="253">
        <v>2</v>
      </c>
      <c r="H688" s="23">
        <f aca="true" t="shared" si="45" ref="H688:H700">PRODUCT(D688:G688)</f>
        <v>2415</v>
      </c>
    </row>
    <row r="689" spans="1:8" ht="12.75">
      <c r="A689" s="19"/>
      <c r="B689" s="250" t="s">
        <v>524</v>
      </c>
      <c r="C689" s="251" t="s">
        <v>514</v>
      </c>
      <c r="D689" s="252">
        <v>2012.5</v>
      </c>
      <c r="E689" s="24">
        <v>1</v>
      </c>
      <c r="F689" s="29">
        <v>1</v>
      </c>
      <c r="G689" s="253">
        <v>1.5</v>
      </c>
      <c r="H689" s="23">
        <f t="shared" si="45"/>
        <v>3018.75</v>
      </c>
    </row>
    <row r="690" spans="1:8" ht="12.75">
      <c r="A690" s="19"/>
      <c r="B690" s="250" t="s">
        <v>526</v>
      </c>
      <c r="C690" s="251" t="s">
        <v>514</v>
      </c>
      <c r="D690" s="252">
        <v>4276.85</v>
      </c>
      <c r="E690" s="24">
        <v>1</v>
      </c>
      <c r="F690" s="29">
        <v>1</v>
      </c>
      <c r="G690" s="253">
        <v>0.5</v>
      </c>
      <c r="H690" s="23">
        <f t="shared" si="45"/>
        <v>2138.425</v>
      </c>
    </row>
    <row r="691" spans="1:8" ht="12.75">
      <c r="A691" s="19"/>
      <c r="B691" s="250" t="s">
        <v>515</v>
      </c>
      <c r="C691" s="251" t="s">
        <v>32</v>
      </c>
      <c r="D691" s="252">
        <v>365.37</v>
      </c>
      <c r="E691" s="24">
        <v>1</v>
      </c>
      <c r="F691" s="29">
        <v>1</v>
      </c>
      <c r="G691" s="253">
        <v>3</v>
      </c>
      <c r="H691" s="23">
        <f t="shared" si="45"/>
        <v>1096.1100000000001</v>
      </c>
    </row>
    <row r="692" spans="1:8" ht="12.75">
      <c r="A692" s="19"/>
      <c r="B692" s="250" t="s">
        <v>516</v>
      </c>
      <c r="C692" s="251" t="s">
        <v>32</v>
      </c>
      <c r="D692" s="252">
        <v>18</v>
      </c>
      <c r="E692" s="24">
        <v>1</v>
      </c>
      <c r="F692" s="29">
        <v>1</v>
      </c>
      <c r="G692" s="253">
        <f>4*3</f>
        <v>12</v>
      </c>
      <c r="H692" s="23">
        <f t="shared" si="45"/>
        <v>216</v>
      </c>
    </row>
    <row r="693" spans="1:8" ht="12.75">
      <c r="A693" s="19"/>
      <c r="B693" s="250" t="s">
        <v>517</v>
      </c>
      <c r="C693" s="251" t="s">
        <v>32</v>
      </c>
      <c r="D693" s="252">
        <v>54</v>
      </c>
      <c r="E693" s="24">
        <v>1</v>
      </c>
      <c r="F693" s="29">
        <v>1</v>
      </c>
      <c r="G693" s="253">
        <f>6*2</f>
        <v>12</v>
      </c>
      <c r="H693" s="23">
        <f t="shared" si="45"/>
        <v>648</v>
      </c>
    </row>
    <row r="694" spans="1:8" ht="12.75">
      <c r="A694" s="19"/>
      <c r="B694" s="254" t="s">
        <v>518</v>
      </c>
      <c r="C694" s="255" t="s">
        <v>32</v>
      </c>
      <c r="D694" s="256">
        <v>106</v>
      </c>
      <c r="E694" s="24">
        <v>1</v>
      </c>
      <c r="F694" s="29">
        <v>1</v>
      </c>
      <c r="G694" s="257">
        <v>2</v>
      </c>
      <c r="H694" s="23">
        <f t="shared" si="45"/>
        <v>212</v>
      </c>
    </row>
    <row r="695" spans="1:8" ht="12.75">
      <c r="A695" s="19"/>
      <c r="B695" s="254" t="s">
        <v>522</v>
      </c>
      <c r="C695" s="255" t="s">
        <v>103</v>
      </c>
      <c r="D695" s="256">
        <v>101.3</v>
      </c>
      <c r="E695" s="24">
        <v>1</v>
      </c>
      <c r="F695" s="29">
        <v>1</v>
      </c>
      <c r="G695" s="257">
        <v>3.5</v>
      </c>
      <c r="H695" s="23">
        <f t="shared" si="45"/>
        <v>354.55</v>
      </c>
    </row>
    <row r="696" spans="1:8" ht="12.75">
      <c r="A696" s="19"/>
      <c r="B696" s="254" t="s">
        <v>519</v>
      </c>
      <c r="C696" s="255" t="s">
        <v>103</v>
      </c>
      <c r="D696" s="256">
        <v>50</v>
      </c>
      <c r="E696" s="24">
        <v>1</v>
      </c>
      <c r="F696" s="29">
        <v>1</v>
      </c>
      <c r="G696" s="257">
        <v>5.2</v>
      </c>
      <c r="H696" s="23">
        <f t="shared" si="45"/>
        <v>260</v>
      </c>
    </row>
    <row r="697" spans="1:8" ht="12.75">
      <c r="A697" s="19"/>
      <c r="B697" s="250" t="s">
        <v>520</v>
      </c>
      <c r="C697" s="251" t="s">
        <v>67</v>
      </c>
      <c r="D697" s="252">
        <f>'Lista de recursos'!F79</f>
        <v>632.5</v>
      </c>
      <c r="E697" s="24">
        <v>1</v>
      </c>
      <c r="F697" s="29">
        <v>1</v>
      </c>
      <c r="G697" s="253">
        <v>0.75</v>
      </c>
      <c r="H697" s="23">
        <f t="shared" si="45"/>
        <v>474.375</v>
      </c>
    </row>
    <row r="698" spans="1:8" ht="12.75">
      <c r="A698" s="19"/>
      <c r="B698" s="250" t="s">
        <v>152</v>
      </c>
      <c r="C698" s="251" t="s">
        <v>67</v>
      </c>
      <c r="D698" s="252">
        <f>'Lista de recursos'!F81</f>
        <v>475</v>
      </c>
      <c r="E698" s="24">
        <v>1</v>
      </c>
      <c r="F698" s="29">
        <v>1</v>
      </c>
      <c r="G698" s="253">
        <v>0.5</v>
      </c>
      <c r="H698" s="23">
        <f t="shared" si="45"/>
        <v>237.5</v>
      </c>
    </row>
    <row r="699" spans="1:8" ht="12.75">
      <c r="A699" s="19"/>
      <c r="B699" s="250" t="s">
        <v>344</v>
      </c>
      <c r="C699" s="251" t="s">
        <v>21</v>
      </c>
      <c r="D699" s="252">
        <f>SUM(H688:H698)</f>
        <v>11070.71</v>
      </c>
      <c r="E699" s="24">
        <v>1</v>
      </c>
      <c r="F699" s="29">
        <v>1</v>
      </c>
      <c r="G699" s="257">
        <v>0.4</v>
      </c>
      <c r="H699" s="23">
        <f t="shared" si="45"/>
        <v>4428.284</v>
      </c>
    </row>
    <row r="700" spans="1:8" ht="12.75">
      <c r="A700" s="19"/>
      <c r="B700" s="258" t="s">
        <v>523</v>
      </c>
      <c r="C700" s="251" t="s">
        <v>21</v>
      </c>
      <c r="D700" s="252">
        <v>620</v>
      </c>
      <c r="E700" s="24">
        <v>1</v>
      </c>
      <c r="F700" s="29">
        <v>1</v>
      </c>
      <c r="G700" s="257">
        <v>1</v>
      </c>
      <c r="H700" s="23">
        <f t="shared" si="45"/>
        <v>620</v>
      </c>
    </row>
    <row r="701" spans="1:8" ht="12.75">
      <c r="A701" s="19"/>
      <c r="B701" s="164"/>
      <c r="C701" s="27"/>
      <c r="D701" s="20"/>
      <c r="E701" s="19"/>
      <c r="F701" s="134"/>
      <c r="G701" s="135"/>
      <c r="H701" s="20">
        <f>SUM(H688:H700)/2.7</f>
        <v>5969.997777777777</v>
      </c>
    </row>
    <row r="702" spans="1:9" ht="38.25">
      <c r="A702" s="19"/>
      <c r="B702" s="259" t="s">
        <v>412</v>
      </c>
      <c r="C702" s="260" t="s">
        <v>8</v>
      </c>
      <c r="D702" s="221">
        <v>1.22</v>
      </c>
      <c r="E702" s="261"/>
      <c r="F702" s="19"/>
      <c r="G702" s="262"/>
      <c r="H702" s="246"/>
      <c r="I702" s="149"/>
    </row>
    <row r="703" spans="1:8" ht="12.75">
      <c r="A703" s="19"/>
      <c r="B703" s="263" t="s">
        <v>528</v>
      </c>
      <c r="C703" s="264" t="s">
        <v>15</v>
      </c>
      <c r="D703" s="265">
        <v>830</v>
      </c>
      <c r="E703" s="24">
        <v>1</v>
      </c>
      <c r="F703" s="29">
        <v>1</v>
      </c>
      <c r="G703" s="266">
        <v>1</v>
      </c>
      <c r="H703" s="23">
        <f aca="true" t="shared" si="46" ref="H703:H713">PRODUCT(D703:G703)</f>
        <v>830</v>
      </c>
    </row>
    <row r="704" spans="1:8" ht="12.75">
      <c r="A704" s="19"/>
      <c r="B704" s="263" t="s">
        <v>529</v>
      </c>
      <c r="C704" s="264" t="s">
        <v>15</v>
      </c>
      <c r="D704" s="265">
        <v>330</v>
      </c>
      <c r="E704" s="24">
        <v>1</v>
      </c>
      <c r="F704" s="29">
        <v>1</v>
      </c>
      <c r="G704" s="266">
        <v>0.5</v>
      </c>
      <c r="H704" s="23">
        <f t="shared" si="46"/>
        <v>165</v>
      </c>
    </row>
    <row r="705" spans="1:8" ht="12.75">
      <c r="A705" s="19"/>
      <c r="B705" s="263" t="s">
        <v>530</v>
      </c>
      <c r="C705" s="264" t="s">
        <v>15</v>
      </c>
      <c r="D705" s="265">
        <v>295.25</v>
      </c>
      <c r="E705" s="24">
        <v>1</v>
      </c>
      <c r="F705" s="29">
        <v>1</v>
      </c>
      <c r="G705" s="266">
        <v>0.2</v>
      </c>
      <c r="H705" s="23">
        <f t="shared" si="46"/>
        <v>59.050000000000004</v>
      </c>
    </row>
    <row r="706" spans="1:8" ht="12.75">
      <c r="A706" s="19"/>
      <c r="B706" s="263" t="s">
        <v>531</v>
      </c>
      <c r="C706" s="264" t="s">
        <v>15</v>
      </c>
      <c r="D706" s="265">
        <v>2310.5</v>
      </c>
      <c r="E706" s="24">
        <v>1</v>
      </c>
      <c r="F706" s="29">
        <v>1</v>
      </c>
      <c r="G706" s="266">
        <v>0.0732</v>
      </c>
      <c r="H706" s="23">
        <f t="shared" si="46"/>
        <v>169.1286</v>
      </c>
    </row>
    <row r="707" spans="1:8" ht="12.75">
      <c r="A707" s="19"/>
      <c r="B707" s="263" t="s">
        <v>532</v>
      </c>
      <c r="C707" s="264" t="s">
        <v>15</v>
      </c>
      <c r="D707" s="265">
        <v>317.31</v>
      </c>
      <c r="E707" s="24">
        <v>1</v>
      </c>
      <c r="F707" s="29">
        <v>1</v>
      </c>
      <c r="G707" s="266">
        <v>0.03</v>
      </c>
      <c r="H707" s="23">
        <f t="shared" si="46"/>
        <v>9.5193</v>
      </c>
    </row>
    <row r="708" spans="1:8" ht="12.75">
      <c r="A708" s="19"/>
      <c r="B708" s="263" t="s">
        <v>533</v>
      </c>
      <c r="C708" s="264" t="s">
        <v>103</v>
      </c>
      <c r="D708" s="265">
        <v>156.3</v>
      </c>
      <c r="E708" s="24">
        <v>1</v>
      </c>
      <c r="F708" s="29">
        <v>1</v>
      </c>
      <c r="G708" s="266">
        <v>0.085</v>
      </c>
      <c r="H708" s="23">
        <f t="shared" si="46"/>
        <v>13.285500000000003</v>
      </c>
    </row>
    <row r="709" spans="1:8" ht="12.75">
      <c r="A709" s="19"/>
      <c r="B709" s="263" t="s">
        <v>534</v>
      </c>
      <c r="C709" s="264" t="s">
        <v>103</v>
      </c>
      <c r="D709" s="265">
        <v>218.2</v>
      </c>
      <c r="E709" s="24">
        <v>1</v>
      </c>
      <c r="F709" s="29">
        <v>1</v>
      </c>
      <c r="G709" s="266">
        <v>0.03</v>
      </c>
      <c r="H709" s="23">
        <f t="shared" si="46"/>
        <v>6.545999999999999</v>
      </c>
    </row>
    <row r="710" spans="1:8" ht="12.75">
      <c r="A710" s="19"/>
      <c r="B710" s="263" t="s">
        <v>535</v>
      </c>
      <c r="C710" s="264" t="s">
        <v>15</v>
      </c>
      <c r="D710" s="265">
        <v>5.16</v>
      </c>
      <c r="E710" s="24">
        <v>1</v>
      </c>
      <c r="F710" s="29">
        <v>1</v>
      </c>
      <c r="G710" s="266">
        <v>5</v>
      </c>
      <c r="H710" s="23">
        <f t="shared" si="46"/>
        <v>25.8</v>
      </c>
    </row>
    <row r="711" spans="1:8" ht="12.75">
      <c r="A711" s="19"/>
      <c r="B711" s="263" t="s">
        <v>536</v>
      </c>
      <c r="C711" s="264" t="s">
        <v>15</v>
      </c>
      <c r="D711" s="265">
        <v>2.685</v>
      </c>
      <c r="E711" s="24">
        <v>1</v>
      </c>
      <c r="F711" s="29">
        <v>1</v>
      </c>
      <c r="G711" s="266">
        <v>5</v>
      </c>
      <c r="H711" s="23">
        <f t="shared" si="46"/>
        <v>13.425</v>
      </c>
    </row>
    <row r="712" spans="1:8" ht="12.75">
      <c r="A712" s="19"/>
      <c r="B712" s="263" t="s">
        <v>537</v>
      </c>
      <c r="C712" s="264" t="s">
        <v>15</v>
      </c>
      <c r="D712" s="265">
        <v>70</v>
      </c>
      <c r="E712" s="24">
        <v>1</v>
      </c>
      <c r="F712" s="29">
        <v>1</v>
      </c>
      <c r="G712" s="266">
        <v>0.015</v>
      </c>
      <c r="H712" s="23">
        <f t="shared" si="46"/>
        <v>1.05</v>
      </c>
    </row>
    <row r="713" spans="1:8" ht="12.75">
      <c r="A713" s="19"/>
      <c r="B713" s="263" t="s">
        <v>527</v>
      </c>
      <c r="C713" s="264" t="s">
        <v>21</v>
      </c>
      <c r="D713" s="265">
        <f>SUM(H703:H712)*0.1</f>
        <v>129.28043999999997</v>
      </c>
      <c r="E713" s="24">
        <v>1</v>
      </c>
      <c r="F713" s="29">
        <v>1</v>
      </c>
      <c r="G713" s="266">
        <v>1</v>
      </c>
      <c r="H713" s="23">
        <f t="shared" si="46"/>
        <v>129.28043999999997</v>
      </c>
    </row>
    <row r="714" spans="1:8" ht="12.75">
      <c r="A714" s="19"/>
      <c r="B714" s="19"/>
      <c r="C714" s="27"/>
      <c r="D714" s="261"/>
      <c r="E714" s="24">
        <v>1</v>
      </c>
      <c r="F714" s="29">
        <v>1</v>
      </c>
      <c r="G714" s="72"/>
      <c r="H714" s="267">
        <f>SUM(H703:H713)/1.22</f>
        <v>1165.6433114754097</v>
      </c>
    </row>
    <row r="715" spans="1:9" ht="12.75">
      <c r="A715" s="19"/>
      <c r="B715" s="26" t="s">
        <v>417</v>
      </c>
      <c r="C715" s="27"/>
      <c r="D715" s="27"/>
      <c r="E715" s="261"/>
      <c r="F715" s="19"/>
      <c r="G715" s="19"/>
      <c r="H715" s="72"/>
      <c r="I715" s="150"/>
    </row>
    <row r="716" spans="1:8" ht="12.75">
      <c r="A716" s="19"/>
      <c r="B716" s="263" t="s">
        <v>528</v>
      </c>
      <c r="C716" s="255" t="s">
        <v>538</v>
      </c>
      <c r="D716" s="72">
        <f>D703</f>
        <v>830</v>
      </c>
      <c r="E716" s="24">
        <v>1</v>
      </c>
      <c r="F716" s="24">
        <v>1</v>
      </c>
      <c r="G716" s="268">
        <v>1</v>
      </c>
      <c r="H716" s="23">
        <f>PRODUCT(D716:G716)</f>
        <v>830</v>
      </c>
    </row>
    <row r="717" spans="1:8" ht="12.75">
      <c r="A717" s="19"/>
      <c r="B717" s="24" t="s">
        <v>539</v>
      </c>
      <c r="C717" s="255" t="s">
        <v>317</v>
      </c>
      <c r="D717" s="72">
        <f>H716+H719</f>
        <v>965</v>
      </c>
      <c r="E717" s="24">
        <v>1</v>
      </c>
      <c r="F717" s="24">
        <v>1</v>
      </c>
      <c r="G717" s="268">
        <v>0.3</v>
      </c>
      <c r="H717" s="23">
        <f>PRODUCT(D717:G717)</f>
        <v>289.5</v>
      </c>
    </row>
    <row r="718" spans="1:8" ht="12.75">
      <c r="A718" s="19"/>
      <c r="B718" s="24" t="s">
        <v>540</v>
      </c>
      <c r="C718" s="255" t="s">
        <v>293</v>
      </c>
      <c r="D718" s="72">
        <v>148</v>
      </c>
      <c r="E718" s="24">
        <v>1</v>
      </c>
      <c r="F718" s="24">
        <v>1</v>
      </c>
      <c r="G718" s="268">
        <v>0.25</v>
      </c>
      <c r="H718" s="23">
        <f>PRODUCT(D718:G718)</f>
        <v>37</v>
      </c>
    </row>
    <row r="719" spans="1:8" ht="12.75">
      <c r="A719" s="19"/>
      <c r="B719" s="24" t="s">
        <v>541</v>
      </c>
      <c r="C719" s="255" t="s">
        <v>293</v>
      </c>
      <c r="D719" s="72">
        <v>300</v>
      </c>
      <c r="E719" s="24">
        <v>1</v>
      </c>
      <c r="F719" s="24">
        <v>1</v>
      </c>
      <c r="G719" s="268">
        <v>0.45</v>
      </c>
      <c r="H719" s="23">
        <f>PRODUCT(D719:G719)</f>
        <v>135</v>
      </c>
    </row>
    <row r="720" spans="1:8" ht="12.75">
      <c r="A720" s="19"/>
      <c r="B720" s="19"/>
      <c r="C720" s="27"/>
      <c r="D720" s="27"/>
      <c r="E720" s="19"/>
      <c r="F720" s="19"/>
      <c r="G720" s="72"/>
      <c r="H720" s="267">
        <f>SUM(H716:H719)</f>
        <v>1291.5</v>
      </c>
    </row>
    <row r="721" spans="1:9" ht="12.75">
      <c r="A721" s="19"/>
      <c r="B721" s="26" t="s">
        <v>542</v>
      </c>
      <c r="C721" s="27"/>
      <c r="D721" s="27"/>
      <c r="E721" s="261"/>
      <c r="F721" s="19"/>
      <c r="G721" s="19"/>
      <c r="H721" s="72"/>
      <c r="I721" s="150"/>
    </row>
    <row r="722" spans="1:8" ht="12.75">
      <c r="A722" s="19"/>
      <c r="B722" s="263" t="s">
        <v>528</v>
      </c>
      <c r="C722" s="255" t="s">
        <v>538</v>
      </c>
      <c r="D722" s="72">
        <f>D716</f>
        <v>830</v>
      </c>
      <c r="E722" s="24">
        <v>1</v>
      </c>
      <c r="F722" s="24">
        <v>1</v>
      </c>
      <c r="G722" s="268">
        <v>1.25</v>
      </c>
      <c r="H722" s="23">
        <f>PRODUCT(D722:G722)</f>
        <v>1037.5</v>
      </c>
    </row>
    <row r="723" spans="1:8" ht="12.75">
      <c r="A723" s="19"/>
      <c r="B723" s="24" t="s">
        <v>539</v>
      </c>
      <c r="C723" s="255" t="s">
        <v>317</v>
      </c>
      <c r="D723" s="72">
        <f>H722+H725</f>
        <v>1308.6399999999999</v>
      </c>
      <c r="E723" s="24">
        <v>1</v>
      </c>
      <c r="F723" s="24">
        <v>1</v>
      </c>
      <c r="G723" s="268">
        <v>0.3</v>
      </c>
      <c r="H723" s="23">
        <f>PRODUCT(D723:G723)</f>
        <v>392.5919999999999</v>
      </c>
    </row>
    <row r="724" spans="1:8" ht="12.75">
      <c r="A724" s="19"/>
      <c r="B724" s="24" t="s">
        <v>540</v>
      </c>
      <c r="C724" s="255" t="s">
        <v>293</v>
      </c>
      <c r="D724" s="72">
        <v>150</v>
      </c>
      <c r="E724" s="24">
        <v>1</v>
      </c>
      <c r="F724" s="24">
        <v>1</v>
      </c>
      <c r="G724" s="268">
        <v>0.3</v>
      </c>
      <c r="H724" s="23">
        <f>PRODUCT(D724:G724)</f>
        <v>45</v>
      </c>
    </row>
    <row r="725" spans="1:8" ht="12.75">
      <c r="A725" s="19"/>
      <c r="B725" s="24" t="s">
        <v>541</v>
      </c>
      <c r="C725" s="255" t="s">
        <v>293</v>
      </c>
      <c r="D725" s="72">
        <v>542.28</v>
      </c>
      <c r="E725" s="24">
        <v>1</v>
      </c>
      <c r="F725" s="24">
        <v>1</v>
      </c>
      <c r="G725" s="268">
        <v>0.5</v>
      </c>
      <c r="H725" s="23">
        <f>PRODUCT(D725:G725)</f>
        <v>271.14</v>
      </c>
    </row>
    <row r="726" spans="1:8" ht="12.75">
      <c r="A726" s="19"/>
      <c r="B726" s="19"/>
      <c r="C726" s="27"/>
      <c r="D726" s="261"/>
      <c r="E726" s="19"/>
      <c r="F726" s="19"/>
      <c r="G726" s="72"/>
      <c r="H726" s="267">
        <f>SUM(H722:H725)</f>
        <v>1746.232</v>
      </c>
    </row>
    <row r="727" spans="1:9" ht="12.75">
      <c r="A727" s="19"/>
      <c r="B727" s="26" t="s">
        <v>415</v>
      </c>
      <c r="C727" s="165"/>
      <c r="D727" s="27"/>
      <c r="E727" s="261"/>
      <c r="F727" s="19"/>
      <c r="G727" s="19"/>
      <c r="H727" s="72"/>
      <c r="I727" s="150"/>
    </row>
    <row r="728" spans="1:8" ht="12.75">
      <c r="A728" s="19"/>
      <c r="B728" s="263" t="s">
        <v>528</v>
      </c>
      <c r="C728" s="255" t="s">
        <v>538</v>
      </c>
      <c r="D728" s="261">
        <f>D716</f>
        <v>830</v>
      </c>
      <c r="E728" s="24">
        <v>1</v>
      </c>
      <c r="F728" s="24">
        <v>1</v>
      </c>
      <c r="G728" s="268">
        <v>0.75</v>
      </c>
      <c r="H728" s="23">
        <f>PRODUCT(D728:G728)</f>
        <v>622.5</v>
      </c>
    </row>
    <row r="729" spans="1:8" ht="12.75">
      <c r="A729" s="19"/>
      <c r="B729" s="24" t="s">
        <v>541</v>
      </c>
      <c r="C729" s="255" t="s">
        <v>15</v>
      </c>
      <c r="D729" s="261">
        <v>130.08</v>
      </c>
      <c r="E729" s="24">
        <v>1</v>
      </c>
      <c r="F729" s="24">
        <v>1</v>
      </c>
      <c r="G729" s="72">
        <v>1</v>
      </c>
      <c r="H729" s="23">
        <f>PRODUCT(D729:G729)</f>
        <v>130.08</v>
      </c>
    </row>
    <row r="730" spans="1:8" ht="12.75">
      <c r="A730" s="19"/>
      <c r="B730" s="24" t="s">
        <v>539</v>
      </c>
      <c r="C730" s="27" t="s">
        <v>21</v>
      </c>
      <c r="D730" s="261">
        <f>SUM(H728:H729)*0.44</f>
        <v>331.1352</v>
      </c>
      <c r="E730" s="24">
        <v>1</v>
      </c>
      <c r="F730" s="24">
        <v>1</v>
      </c>
      <c r="G730" s="72">
        <v>1</v>
      </c>
      <c r="H730" s="23">
        <f>PRODUCT(D730:G730)</f>
        <v>331.1352</v>
      </c>
    </row>
    <row r="731" spans="1:8" ht="12.75">
      <c r="A731" s="19"/>
      <c r="B731" s="19"/>
      <c r="C731" s="27"/>
      <c r="D731" s="261"/>
      <c r="E731" s="19"/>
      <c r="F731" s="19"/>
      <c r="G731" s="72"/>
      <c r="H731" s="267">
        <f>SUM(H728:H730)</f>
        <v>1083.7152</v>
      </c>
    </row>
    <row r="732" spans="1:8" ht="38.25">
      <c r="A732" s="19"/>
      <c r="B732" s="259" t="s">
        <v>429</v>
      </c>
      <c r="C732" s="260" t="s">
        <v>8</v>
      </c>
      <c r="D732" s="221">
        <v>1.22</v>
      </c>
      <c r="E732" s="261"/>
      <c r="F732" s="19"/>
      <c r="G732" s="262"/>
      <c r="H732" s="246"/>
    </row>
    <row r="733" spans="1:8" ht="12.75">
      <c r="A733" s="19"/>
      <c r="B733" s="263" t="s">
        <v>582</v>
      </c>
      <c r="C733" s="264" t="s">
        <v>15</v>
      </c>
      <c r="D733" s="265">
        <v>819.5</v>
      </c>
      <c r="E733" s="24">
        <v>1</v>
      </c>
      <c r="F733" s="29">
        <v>1</v>
      </c>
      <c r="G733" s="266">
        <v>1</v>
      </c>
      <c r="H733" s="23">
        <f aca="true" t="shared" si="47" ref="H733:H742">PRODUCT(D733:G733)</f>
        <v>819.5</v>
      </c>
    </row>
    <row r="734" spans="1:8" ht="12.75">
      <c r="A734" s="19"/>
      <c r="B734" s="263" t="s">
        <v>529</v>
      </c>
      <c r="C734" s="264" t="s">
        <v>15</v>
      </c>
      <c r="D734" s="265">
        <v>330</v>
      </c>
      <c r="E734" s="24">
        <v>1</v>
      </c>
      <c r="F734" s="29">
        <v>1</v>
      </c>
      <c r="G734" s="266">
        <v>0.5</v>
      </c>
      <c r="H734" s="23">
        <f t="shared" si="47"/>
        <v>165</v>
      </c>
    </row>
    <row r="735" spans="1:8" ht="12.75">
      <c r="A735" s="19"/>
      <c r="B735" s="263" t="s">
        <v>530</v>
      </c>
      <c r="C735" s="264" t="s">
        <v>15</v>
      </c>
      <c r="D735" s="265">
        <v>295.25</v>
      </c>
      <c r="E735" s="24">
        <v>1</v>
      </c>
      <c r="F735" s="29">
        <v>1</v>
      </c>
      <c r="G735" s="266">
        <v>0.2</v>
      </c>
      <c r="H735" s="23">
        <f t="shared" si="47"/>
        <v>59.050000000000004</v>
      </c>
    </row>
    <row r="736" spans="1:8" ht="12.75">
      <c r="A736" s="19"/>
      <c r="B736" s="263" t="s">
        <v>531</v>
      </c>
      <c r="C736" s="264" t="s">
        <v>15</v>
      </c>
      <c r="D736" s="265">
        <v>2310.5</v>
      </c>
      <c r="E736" s="24">
        <v>1</v>
      </c>
      <c r="F736" s="29">
        <v>1</v>
      </c>
      <c r="G736" s="266">
        <v>0.0732</v>
      </c>
      <c r="H736" s="23">
        <f t="shared" si="47"/>
        <v>169.1286</v>
      </c>
    </row>
    <row r="737" spans="1:8" ht="12.75">
      <c r="A737" s="19"/>
      <c r="B737" s="263" t="s">
        <v>532</v>
      </c>
      <c r="C737" s="264" t="s">
        <v>15</v>
      </c>
      <c r="D737" s="265">
        <v>317.31</v>
      </c>
      <c r="E737" s="24">
        <v>1</v>
      </c>
      <c r="F737" s="29">
        <v>1</v>
      </c>
      <c r="G737" s="266">
        <v>0.03</v>
      </c>
      <c r="H737" s="23">
        <f t="shared" si="47"/>
        <v>9.5193</v>
      </c>
    </row>
    <row r="738" spans="1:8" ht="12.75">
      <c r="A738" s="19"/>
      <c r="B738" s="263" t="s">
        <v>533</v>
      </c>
      <c r="C738" s="264" t="s">
        <v>103</v>
      </c>
      <c r="D738" s="265">
        <v>156.3</v>
      </c>
      <c r="E738" s="24">
        <v>1</v>
      </c>
      <c r="F738" s="29">
        <v>1</v>
      </c>
      <c r="G738" s="266">
        <v>0.085</v>
      </c>
      <c r="H738" s="23">
        <f t="shared" si="47"/>
        <v>13.285500000000003</v>
      </c>
    </row>
    <row r="739" spans="1:8" ht="12.75">
      <c r="A739" s="19"/>
      <c r="B739" s="263" t="s">
        <v>534</v>
      </c>
      <c r="C739" s="264" t="s">
        <v>103</v>
      </c>
      <c r="D739" s="265">
        <v>218.2</v>
      </c>
      <c r="E739" s="24">
        <v>1</v>
      </c>
      <c r="F739" s="29">
        <v>1</v>
      </c>
      <c r="G739" s="266">
        <v>0.03</v>
      </c>
      <c r="H739" s="23">
        <f t="shared" si="47"/>
        <v>6.545999999999999</v>
      </c>
    </row>
    <row r="740" spans="1:8" ht="12.75">
      <c r="A740" s="19"/>
      <c r="B740" s="263" t="s">
        <v>535</v>
      </c>
      <c r="C740" s="264" t="s">
        <v>15</v>
      </c>
      <c r="D740" s="265">
        <v>5.16</v>
      </c>
      <c r="E740" s="24">
        <v>1</v>
      </c>
      <c r="F740" s="29">
        <v>1</v>
      </c>
      <c r="G740" s="266">
        <v>5</v>
      </c>
      <c r="H740" s="23">
        <f t="shared" si="47"/>
        <v>25.8</v>
      </c>
    </row>
    <row r="741" spans="1:8" ht="12.75">
      <c r="A741" s="19"/>
      <c r="B741" s="263" t="s">
        <v>536</v>
      </c>
      <c r="C741" s="264" t="s">
        <v>15</v>
      </c>
      <c r="D741" s="265">
        <v>2.753</v>
      </c>
      <c r="E741" s="24">
        <v>1</v>
      </c>
      <c r="F741" s="29">
        <v>1</v>
      </c>
      <c r="G741" s="266">
        <v>5</v>
      </c>
      <c r="H741" s="23">
        <f t="shared" si="47"/>
        <v>13.765</v>
      </c>
    </row>
    <row r="742" spans="1:8" ht="12.75">
      <c r="A742" s="19"/>
      <c r="B742" s="263" t="s">
        <v>527</v>
      </c>
      <c r="C742" s="264" t="s">
        <v>21</v>
      </c>
      <c r="D742" s="265">
        <f>SUM(H732:H741)*0.1</f>
        <v>128.15944</v>
      </c>
      <c r="E742" s="24">
        <v>1</v>
      </c>
      <c r="F742" s="29">
        <v>1</v>
      </c>
      <c r="G742" s="266">
        <v>1</v>
      </c>
      <c r="H742" s="23">
        <f t="shared" si="47"/>
        <v>128.15944</v>
      </c>
    </row>
    <row r="743" spans="1:8" ht="12.75">
      <c r="A743" s="19"/>
      <c r="B743" s="19"/>
      <c r="C743" s="27"/>
      <c r="D743" s="261"/>
      <c r="E743" s="19"/>
      <c r="F743" s="19"/>
      <c r="G743" s="72"/>
      <c r="H743" s="267">
        <f>SUM(H733:H742)</f>
        <v>1409.7538399999999</v>
      </c>
    </row>
    <row r="744" spans="1:9" ht="12.75">
      <c r="A744" s="19"/>
      <c r="B744" s="269" t="s">
        <v>422</v>
      </c>
      <c r="C744" s="270"/>
      <c r="D744" s="271"/>
      <c r="E744" s="272"/>
      <c r="F744" s="134"/>
      <c r="G744" s="134"/>
      <c r="H744" s="72"/>
      <c r="I744" s="151"/>
    </row>
    <row r="745" spans="1:8" ht="12.75">
      <c r="A745" s="19"/>
      <c r="B745" s="273" t="s">
        <v>543</v>
      </c>
      <c r="C745" s="271" t="s">
        <v>122</v>
      </c>
      <c r="D745" s="265">
        <f>'Lista de recursos'!F55</f>
        <v>42.55</v>
      </c>
      <c r="E745" s="24">
        <v>0.6</v>
      </c>
      <c r="F745" s="24">
        <v>1</v>
      </c>
      <c r="G745" s="274">
        <v>10.05</v>
      </c>
      <c r="H745" s="23">
        <f>PRODUCT(D745:G745)</f>
        <v>256.5765</v>
      </c>
    </row>
    <row r="746" spans="1:8" ht="12.75">
      <c r="A746" s="19"/>
      <c r="B746" s="273" t="s">
        <v>544</v>
      </c>
      <c r="C746" s="271" t="s">
        <v>8</v>
      </c>
      <c r="D746" s="272">
        <v>349.51</v>
      </c>
      <c r="E746" s="24">
        <v>0.6</v>
      </c>
      <c r="F746" s="24">
        <v>1</v>
      </c>
      <c r="G746" s="72">
        <v>1</v>
      </c>
      <c r="H746" s="23">
        <f>PRODUCT(D746:G746)</f>
        <v>209.706</v>
      </c>
    </row>
    <row r="747" spans="1:8" ht="12.75">
      <c r="A747" s="19"/>
      <c r="B747" s="273" t="s">
        <v>545</v>
      </c>
      <c r="C747" s="271" t="s">
        <v>21</v>
      </c>
      <c r="D747" s="275">
        <f>SUM(H745:H746)*0.027</f>
        <v>12.5896275</v>
      </c>
      <c r="E747" s="24">
        <v>1</v>
      </c>
      <c r="F747" s="24">
        <v>1</v>
      </c>
      <c r="G747" s="72">
        <v>1</v>
      </c>
      <c r="H747" s="23">
        <f>PRODUCT(D747:G747)</f>
        <v>12.5896275</v>
      </c>
    </row>
    <row r="748" spans="1:8" ht="12.75">
      <c r="A748" s="19"/>
      <c r="B748" s="273" t="s">
        <v>375</v>
      </c>
      <c r="C748" s="271" t="s">
        <v>21</v>
      </c>
      <c r="D748" s="272">
        <f>SUM(H745:H746)*0.2</f>
        <v>93.25650000000002</v>
      </c>
      <c r="E748" s="24">
        <v>1</v>
      </c>
      <c r="F748" s="24">
        <v>1</v>
      </c>
      <c r="G748" s="72">
        <v>1</v>
      </c>
      <c r="H748" s="23">
        <f>PRODUCT(D748:G748)</f>
        <v>93.25650000000002</v>
      </c>
    </row>
    <row r="749" spans="1:8" ht="12.75">
      <c r="A749" s="19"/>
      <c r="B749" s="273"/>
      <c r="C749" s="271"/>
      <c r="D749" s="272"/>
      <c r="E749" s="134"/>
      <c r="F749" s="134"/>
      <c r="G749" s="72"/>
      <c r="H749" s="240">
        <f>SUM(H745:H748)</f>
        <v>572.1286275</v>
      </c>
    </row>
    <row r="750" spans="1:8" ht="12.75">
      <c r="A750" s="19"/>
      <c r="B750" s="269" t="s">
        <v>546</v>
      </c>
      <c r="C750" s="270"/>
      <c r="D750" s="271"/>
      <c r="E750" s="272"/>
      <c r="F750" s="134"/>
      <c r="G750" s="134"/>
      <c r="H750" s="72"/>
    </row>
    <row r="751" spans="1:8" ht="12.75">
      <c r="A751" s="19"/>
      <c r="B751" s="269" t="s">
        <v>547</v>
      </c>
      <c r="C751" s="270"/>
      <c r="D751" s="271"/>
      <c r="E751" s="272"/>
      <c r="F751" s="134"/>
      <c r="G751" s="134"/>
      <c r="H751" s="72"/>
    </row>
    <row r="752" spans="1:8" ht="12.75">
      <c r="A752" s="19"/>
      <c r="B752" s="273" t="s">
        <v>543</v>
      </c>
      <c r="C752" s="271" t="s">
        <v>122</v>
      </c>
      <c r="D752" s="265">
        <f>D745</f>
        <v>42.55</v>
      </c>
      <c r="E752" s="24">
        <v>0.98</v>
      </c>
      <c r="F752" s="24">
        <v>1</v>
      </c>
      <c r="G752" s="274">
        <f>2*0.6*0.87*10.76</f>
        <v>11.23344</v>
      </c>
      <c r="H752" s="23">
        <f>PRODUCT(D752:G752)</f>
        <v>468.42321455999996</v>
      </c>
    </row>
    <row r="753" spans="1:8" ht="12.75">
      <c r="A753" s="19"/>
      <c r="B753" s="273" t="s">
        <v>545</v>
      </c>
      <c r="C753" s="271" t="s">
        <v>21</v>
      </c>
      <c r="D753" s="265">
        <f>SUM(H752)*0.0152</f>
        <v>7.120032861312</v>
      </c>
      <c r="E753" s="24">
        <v>1</v>
      </c>
      <c r="F753" s="24">
        <v>1</v>
      </c>
      <c r="G753" s="72">
        <v>1</v>
      </c>
      <c r="H753" s="23">
        <f>PRODUCT(D753:G753)</f>
        <v>7.120032861312</v>
      </c>
    </row>
    <row r="754" spans="1:8" ht="12.75">
      <c r="A754" s="19"/>
      <c r="B754" s="273" t="s">
        <v>375</v>
      </c>
      <c r="C754" s="271" t="s">
        <v>21</v>
      </c>
      <c r="D754" s="265">
        <f>SUM(H752)*0.1</f>
        <v>46.842321456</v>
      </c>
      <c r="E754" s="24">
        <v>1</v>
      </c>
      <c r="F754" s="24">
        <v>1</v>
      </c>
      <c r="G754" s="72">
        <v>1</v>
      </c>
      <c r="H754" s="23">
        <f>PRODUCT(D754:G754)</f>
        <v>46.842321456</v>
      </c>
    </row>
    <row r="755" spans="1:8" ht="12.75">
      <c r="A755" s="19"/>
      <c r="B755" s="273"/>
      <c r="C755" s="271"/>
      <c r="D755" s="272"/>
      <c r="E755" s="134"/>
      <c r="F755" s="134"/>
      <c r="G755" s="72"/>
      <c r="H755" s="240">
        <f>SUM(H752:H754)</f>
        <v>522.3855688773119</v>
      </c>
    </row>
    <row r="756" spans="1:8" ht="25.5">
      <c r="A756" s="19"/>
      <c r="B756" s="276" t="s">
        <v>413</v>
      </c>
      <c r="C756" s="27"/>
      <c r="D756" s="19"/>
      <c r="E756" s="19"/>
      <c r="F756" s="19"/>
      <c r="G756" s="19"/>
      <c r="H756" s="20"/>
    </row>
    <row r="757" spans="1:9" ht="12.75">
      <c r="A757" s="19"/>
      <c r="B757" s="277" t="s">
        <v>557</v>
      </c>
      <c r="C757" s="278" t="s">
        <v>376</v>
      </c>
      <c r="D757" s="20">
        <v>696.36</v>
      </c>
      <c r="E757" s="24">
        <v>1</v>
      </c>
      <c r="F757" s="24">
        <v>1</v>
      </c>
      <c r="G757" s="279">
        <v>1.1</v>
      </c>
      <c r="H757" s="23">
        <f>PRODUCT(D757:G757)</f>
        <v>765.9960000000001</v>
      </c>
      <c r="I757" s="148"/>
    </row>
    <row r="758" spans="1:9" ht="12.75">
      <c r="A758" s="19"/>
      <c r="B758" s="277" t="s">
        <v>481</v>
      </c>
      <c r="C758" s="278" t="s">
        <v>550</v>
      </c>
      <c r="D758" s="20">
        <f>'Lista de recursos'!F149</f>
        <v>736.6324999999999</v>
      </c>
      <c r="E758" s="24">
        <v>1</v>
      </c>
      <c r="F758" s="24">
        <v>1</v>
      </c>
      <c r="G758" s="279">
        <v>0.0833</v>
      </c>
      <c r="H758" s="23">
        <f>PRODUCT(D758:G758)</f>
        <v>61.361487249999996</v>
      </c>
      <c r="I758" s="148"/>
    </row>
    <row r="759" spans="1:9" ht="12.75">
      <c r="A759" s="19"/>
      <c r="B759" s="277" t="s">
        <v>551</v>
      </c>
      <c r="C759" s="278" t="s">
        <v>550</v>
      </c>
      <c r="D759" s="20">
        <f>'Lista de recursos'!F145</f>
        <v>956.1675</v>
      </c>
      <c r="E759" s="24">
        <v>1</v>
      </c>
      <c r="F759" s="24">
        <v>1</v>
      </c>
      <c r="G759" s="279">
        <v>0.0833</v>
      </c>
      <c r="H759" s="23">
        <f>PRODUCT(D759:G759)</f>
        <v>79.64875275</v>
      </c>
      <c r="I759" s="148"/>
    </row>
    <row r="760" spans="1:8" ht="12.75">
      <c r="A760" s="19"/>
      <c r="B760" s="280" t="s">
        <v>552</v>
      </c>
      <c r="C760" s="278"/>
      <c r="D760" s="20">
        <f>SUM(H759,H758,H757)</f>
        <v>907.0062400000002</v>
      </c>
      <c r="E760" s="24">
        <v>1</v>
      </c>
      <c r="F760" s="24">
        <v>1</v>
      </c>
      <c r="G760" s="281">
        <v>0.05</v>
      </c>
      <c r="H760" s="23">
        <f>PRODUCT(D760:G760)</f>
        <v>45.35031200000001</v>
      </c>
    </row>
    <row r="761" spans="1:8" ht="12.75">
      <c r="A761" s="19"/>
      <c r="B761" s="282"/>
      <c r="C761" s="27"/>
      <c r="D761" s="19"/>
      <c r="E761" s="19"/>
      <c r="F761" s="19"/>
      <c r="G761" s="19"/>
      <c r="H761" s="20">
        <f>SUM(H757:H760)</f>
        <v>952.3565520000001</v>
      </c>
    </row>
    <row r="762" spans="1:8" ht="12.75">
      <c r="A762" s="19"/>
      <c r="B762" s="276" t="s">
        <v>414</v>
      </c>
      <c r="C762" s="27"/>
      <c r="D762" s="19"/>
      <c r="E762" s="19"/>
      <c r="F762" s="19"/>
      <c r="G762" s="19"/>
      <c r="H762" s="20"/>
    </row>
    <row r="763" spans="1:8" ht="12.75">
      <c r="A763" s="19"/>
      <c r="B763" s="277" t="s">
        <v>414</v>
      </c>
      <c r="C763" s="278" t="s">
        <v>376</v>
      </c>
      <c r="D763" s="20">
        <v>508.22</v>
      </c>
      <c r="E763" s="24">
        <v>1</v>
      </c>
      <c r="F763" s="24">
        <v>1</v>
      </c>
      <c r="G763" s="279">
        <v>1.1</v>
      </c>
      <c r="H763" s="23">
        <f>PRODUCT(D763:G763)</f>
        <v>559.042</v>
      </c>
    </row>
    <row r="764" spans="1:8" ht="12.75">
      <c r="A764" s="19"/>
      <c r="B764" s="277" t="s">
        <v>481</v>
      </c>
      <c r="C764" s="278" t="s">
        <v>550</v>
      </c>
      <c r="D764" s="20">
        <f>D758</f>
        <v>736.6324999999999</v>
      </c>
      <c r="E764" s="24">
        <v>1</v>
      </c>
      <c r="F764" s="24">
        <v>1</v>
      </c>
      <c r="G764" s="279">
        <v>0.0833</v>
      </c>
      <c r="H764" s="23">
        <f>PRODUCT(D764:G764)</f>
        <v>61.361487249999996</v>
      </c>
    </row>
    <row r="765" spans="1:8" ht="12.75">
      <c r="A765" s="19"/>
      <c r="B765" s="277" t="s">
        <v>551</v>
      </c>
      <c r="C765" s="278" t="s">
        <v>550</v>
      </c>
      <c r="D765" s="20">
        <f>D759</f>
        <v>956.1675</v>
      </c>
      <c r="E765" s="24">
        <v>1</v>
      </c>
      <c r="F765" s="24">
        <v>1</v>
      </c>
      <c r="G765" s="279">
        <v>0.0833</v>
      </c>
      <c r="H765" s="23">
        <f>PRODUCT(D765:G765)</f>
        <v>79.64875275</v>
      </c>
    </row>
    <row r="766" spans="1:8" ht="12.75">
      <c r="A766" s="19"/>
      <c r="B766" s="280" t="s">
        <v>552</v>
      </c>
      <c r="C766" s="278" t="s">
        <v>478</v>
      </c>
      <c r="D766" s="20">
        <f>SUM(H765,H764,H763)</f>
        <v>700.05224</v>
      </c>
      <c r="E766" s="24">
        <v>1</v>
      </c>
      <c r="F766" s="24">
        <v>1</v>
      </c>
      <c r="G766" s="281">
        <v>0.05</v>
      </c>
      <c r="H766" s="23">
        <f>PRODUCT(D766:G766)</f>
        <v>35.002612</v>
      </c>
    </row>
    <row r="767" spans="1:8" ht="12.75">
      <c r="A767" s="19"/>
      <c r="B767" s="282"/>
      <c r="C767" s="27"/>
      <c r="D767" s="19"/>
      <c r="E767" s="19"/>
      <c r="F767" s="19"/>
      <c r="G767" s="19"/>
      <c r="H767" s="20">
        <f>SUM(H763:H766)</f>
        <v>735.054852</v>
      </c>
    </row>
    <row r="768" spans="1:8" ht="12.75">
      <c r="A768" s="19"/>
      <c r="B768" s="283" t="s">
        <v>416</v>
      </c>
      <c r="C768" s="27"/>
      <c r="D768" s="19"/>
      <c r="E768" s="19"/>
      <c r="F768" s="19"/>
      <c r="G768" s="19"/>
      <c r="H768" s="20"/>
    </row>
    <row r="769" spans="1:8" ht="12.75" hidden="1">
      <c r="A769" s="19"/>
      <c r="B769" s="19"/>
      <c r="C769" s="27"/>
      <c r="D769" s="19"/>
      <c r="E769" s="19"/>
      <c r="F769" s="19"/>
      <c r="G769" s="19"/>
      <c r="H769" s="20"/>
    </row>
    <row r="770" spans="1:8" ht="12.75" hidden="1">
      <c r="A770" s="19"/>
      <c r="B770" s="284"/>
      <c r="C770" s="27"/>
      <c r="D770" s="19"/>
      <c r="E770" s="19"/>
      <c r="F770" s="19"/>
      <c r="G770" s="19"/>
      <c r="H770" s="20"/>
    </row>
    <row r="771" spans="1:8" ht="12.75" hidden="1">
      <c r="A771" s="19"/>
      <c r="B771" s="284" t="s">
        <v>548</v>
      </c>
      <c r="C771" s="27"/>
      <c r="D771" s="19"/>
      <c r="E771" s="19"/>
      <c r="F771" s="19"/>
      <c r="G771" s="19"/>
      <c r="H771" s="20"/>
    </row>
    <row r="772" spans="1:8" ht="12.75" hidden="1">
      <c r="A772" s="19"/>
      <c r="B772" s="659" t="s">
        <v>549</v>
      </c>
      <c r="C772" s="659"/>
      <c r="D772" s="659"/>
      <c r="E772" s="659"/>
      <c r="F772" s="659"/>
      <c r="G772" s="659"/>
      <c r="H772" s="20"/>
    </row>
    <row r="773" spans="1:9" ht="12.75">
      <c r="A773" s="19"/>
      <c r="B773" s="277" t="s">
        <v>558</v>
      </c>
      <c r="C773" s="278" t="s">
        <v>103</v>
      </c>
      <c r="D773" s="20">
        <f>'Lista de recursos'!F16</f>
        <v>39.099999999999994</v>
      </c>
      <c r="E773" s="24">
        <v>1</v>
      </c>
      <c r="F773" s="24">
        <v>1</v>
      </c>
      <c r="G773" s="279">
        <f>0.22*2.2</f>
        <v>0.48400000000000004</v>
      </c>
      <c r="H773" s="23">
        <f>PRODUCT(D773:G773)</f>
        <v>18.9244</v>
      </c>
      <c r="I773" s="148"/>
    </row>
    <row r="774" spans="1:9" ht="12.75">
      <c r="A774" s="19"/>
      <c r="B774" s="277" t="s">
        <v>553</v>
      </c>
      <c r="C774" s="278" t="s">
        <v>103</v>
      </c>
      <c r="D774" s="20">
        <v>38.945664</v>
      </c>
      <c r="E774" s="24">
        <v>1</v>
      </c>
      <c r="F774" s="24">
        <v>1</v>
      </c>
      <c r="G774" s="279">
        <f>0.1485*2.2</f>
        <v>0.3267</v>
      </c>
      <c r="H774" s="23">
        <f aca="true" t="shared" si="48" ref="H774:H780">PRODUCT(D774:G774)</f>
        <v>12.7235484288</v>
      </c>
      <c r="I774" s="148"/>
    </row>
    <row r="775" spans="1:9" ht="12.75">
      <c r="A775" s="19"/>
      <c r="B775" s="277" t="s">
        <v>559</v>
      </c>
      <c r="C775" s="278" t="s">
        <v>8</v>
      </c>
      <c r="D775" s="20">
        <v>813.91</v>
      </c>
      <c r="E775" s="24">
        <v>1</v>
      </c>
      <c r="F775" s="24">
        <v>1</v>
      </c>
      <c r="G775" s="279">
        <v>1</v>
      </c>
      <c r="H775" s="23">
        <f>PRODUCT(D775:G775)</f>
        <v>813.91</v>
      </c>
      <c r="I775" s="148"/>
    </row>
    <row r="776" spans="1:9" ht="12.75">
      <c r="A776" s="19"/>
      <c r="B776" s="277" t="s">
        <v>554</v>
      </c>
      <c r="C776" s="278" t="s">
        <v>555</v>
      </c>
      <c r="D776" s="20">
        <v>27.301184</v>
      </c>
      <c r="E776" s="24">
        <v>1</v>
      </c>
      <c r="F776" s="24">
        <v>1</v>
      </c>
      <c r="G776" s="279">
        <v>1.2833</v>
      </c>
      <c r="H776" s="23">
        <f t="shared" si="48"/>
        <v>35.0356094272</v>
      </c>
      <c r="I776" s="148"/>
    </row>
    <row r="777" spans="1:9" ht="12.75">
      <c r="A777" s="19"/>
      <c r="B777" s="277" t="s">
        <v>556</v>
      </c>
      <c r="C777" s="278" t="s">
        <v>555</v>
      </c>
      <c r="D777" s="20">
        <v>13.40044</v>
      </c>
      <c r="E777" s="24">
        <v>1</v>
      </c>
      <c r="F777" s="24">
        <v>1</v>
      </c>
      <c r="G777" s="279">
        <v>3.5</v>
      </c>
      <c r="H777" s="23">
        <f t="shared" si="48"/>
        <v>46.90154</v>
      </c>
      <c r="I777" s="148"/>
    </row>
    <row r="778" spans="1:9" ht="12.75" customHeight="1">
      <c r="A778" s="19"/>
      <c r="B778" s="277" t="s">
        <v>560</v>
      </c>
      <c r="C778" s="278" t="s">
        <v>376</v>
      </c>
      <c r="D778" s="20">
        <v>75.341192</v>
      </c>
      <c r="E778" s="24">
        <v>1</v>
      </c>
      <c r="F778" s="24">
        <v>1</v>
      </c>
      <c r="G778" s="279">
        <v>1.05</v>
      </c>
      <c r="H778" s="23">
        <f t="shared" si="48"/>
        <v>79.10825160000002</v>
      </c>
      <c r="I778" s="148"/>
    </row>
    <row r="779" spans="1:9" ht="12.75">
      <c r="A779" s="19"/>
      <c r="B779" s="277" t="s">
        <v>579</v>
      </c>
      <c r="C779" s="278" t="s">
        <v>550</v>
      </c>
      <c r="D779" s="20">
        <v>1109.31520559999</v>
      </c>
      <c r="E779" s="24">
        <v>1</v>
      </c>
      <c r="F779" s="24">
        <v>1</v>
      </c>
      <c r="G779" s="279">
        <v>0.09333</v>
      </c>
      <c r="H779" s="23">
        <f t="shared" si="48"/>
        <v>103.53238813864705</v>
      </c>
      <c r="I779" s="148"/>
    </row>
    <row r="780" spans="1:8" ht="12.75">
      <c r="A780" s="19"/>
      <c r="B780" s="277" t="s">
        <v>552</v>
      </c>
      <c r="C780" s="278" t="s">
        <v>478</v>
      </c>
      <c r="D780" s="285">
        <f>SUM(H773:H779)</f>
        <v>1110.135737594647</v>
      </c>
      <c r="E780" s="24">
        <v>1</v>
      </c>
      <c r="F780" s="24">
        <v>1</v>
      </c>
      <c r="G780" s="286">
        <v>0.05</v>
      </c>
      <c r="H780" s="23">
        <f t="shared" si="48"/>
        <v>55.50678687973235</v>
      </c>
    </row>
    <row r="781" spans="1:8" ht="12.75">
      <c r="A781" s="19"/>
      <c r="B781" s="164"/>
      <c r="C781" s="27"/>
      <c r="D781" s="20"/>
      <c r="E781" s="19"/>
      <c r="F781" s="134"/>
      <c r="G781" s="135"/>
      <c r="H781" s="20">
        <f>SUM(H773:H780)</f>
        <v>1165.6425244743793</v>
      </c>
    </row>
    <row r="782" spans="1:8" ht="12.75">
      <c r="A782" s="19"/>
      <c r="B782" s="26" t="s">
        <v>418</v>
      </c>
      <c r="C782" s="165"/>
      <c r="D782" s="27"/>
      <c r="E782" s="261"/>
      <c r="F782" s="19"/>
      <c r="G782" s="19"/>
      <c r="H782" s="72"/>
    </row>
    <row r="783" spans="1:8" ht="12.75">
      <c r="A783" s="19"/>
      <c r="B783" s="263" t="s">
        <v>561</v>
      </c>
      <c r="C783" s="255" t="s">
        <v>15</v>
      </c>
      <c r="D783" s="261">
        <v>830</v>
      </c>
      <c r="E783" s="24">
        <v>0.99</v>
      </c>
      <c r="F783" s="24">
        <v>1</v>
      </c>
      <c r="G783" s="268">
        <v>4.5</v>
      </c>
      <c r="H783" s="23">
        <f>PRODUCT(D783:G783)</f>
        <v>3697.65</v>
      </c>
    </row>
    <row r="784" spans="1:8" ht="12.75">
      <c r="A784" s="19"/>
      <c r="B784" s="24" t="s">
        <v>541</v>
      </c>
      <c r="C784" s="255" t="s">
        <v>15</v>
      </c>
      <c r="D784" s="261">
        <v>351.12</v>
      </c>
      <c r="E784" s="24">
        <v>1</v>
      </c>
      <c r="F784" s="24">
        <v>1</v>
      </c>
      <c r="G784" s="72">
        <v>1</v>
      </c>
      <c r="H784" s="23">
        <f>PRODUCT(D784:G784)</f>
        <v>351.12</v>
      </c>
    </row>
    <row r="785" spans="1:8" ht="12.75">
      <c r="A785" s="19"/>
      <c r="B785" s="24" t="s">
        <v>539</v>
      </c>
      <c r="C785" s="27" t="s">
        <v>21</v>
      </c>
      <c r="D785" s="261">
        <f>SUM(H783:H784)</f>
        <v>4048.77</v>
      </c>
      <c r="E785" s="24">
        <v>1</v>
      </c>
      <c r="F785" s="24">
        <v>1</v>
      </c>
      <c r="G785" s="72">
        <v>0.35</v>
      </c>
      <c r="H785" s="23">
        <f>PRODUCT(D785:G785)</f>
        <v>1417.0694999999998</v>
      </c>
    </row>
    <row r="786" spans="1:8" ht="12.75">
      <c r="A786" s="19"/>
      <c r="B786" s="19"/>
      <c r="C786" s="27"/>
      <c r="D786" s="261"/>
      <c r="E786" s="19"/>
      <c r="F786" s="19"/>
      <c r="G786" s="72"/>
      <c r="H786" s="267">
        <f>SUM(H783:H785)</f>
        <v>5465.8395</v>
      </c>
    </row>
    <row r="787" spans="1:8" ht="12.75">
      <c r="A787" s="19"/>
      <c r="B787" s="276" t="s">
        <v>419</v>
      </c>
      <c r="C787" s="27"/>
      <c r="D787" s="19"/>
      <c r="E787" s="19"/>
      <c r="F787" s="19"/>
      <c r="G787" s="19"/>
      <c r="H787" s="20"/>
    </row>
    <row r="788" spans="1:8" ht="12.75">
      <c r="A788" s="19"/>
      <c r="B788" s="277" t="s">
        <v>419</v>
      </c>
      <c r="C788" s="278" t="s">
        <v>376</v>
      </c>
      <c r="D788" s="20">
        <v>1470.5</v>
      </c>
      <c r="E788" s="24">
        <v>1</v>
      </c>
      <c r="F788" s="24">
        <v>1</v>
      </c>
      <c r="G788" s="279">
        <v>1.1</v>
      </c>
      <c r="H788" s="23">
        <f>PRODUCT(D788:G788)</f>
        <v>1617.5500000000002</v>
      </c>
    </row>
    <row r="789" spans="1:8" ht="12.75">
      <c r="A789" s="19"/>
      <c r="B789" s="277" t="s">
        <v>481</v>
      </c>
      <c r="C789" s="278" t="s">
        <v>550</v>
      </c>
      <c r="D789" s="20">
        <f>D764</f>
        <v>736.6324999999999</v>
      </c>
      <c r="E789" s="24">
        <v>1</v>
      </c>
      <c r="F789" s="24">
        <v>1</v>
      </c>
      <c r="G789" s="279">
        <v>0.0833</v>
      </c>
      <c r="H789" s="23">
        <f>PRODUCT(D789:G789)</f>
        <v>61.361487249999996</v>
      </c>
    </row>
    <row r="790" spans="1:8" ht="12.75">
      <c r="A790" s="19"/>
      <c r="B790" s="277" t="s">
        <v>551</v>
      </c>
      <c r="C790" s="278" t="s">
        <v>550</v>
      </c>
      <c r="D790" s="20">
        <f>D765</f>
        <v>956.1675</v>
      </c>
      <c r="E790" s="24">
        <v>1</v>
      </c>
      <c r="F790" s="24">
        <v>1</v>
      </c>
      <c r="G790" s="279">
        <v>0.0833</v>
      </c>
      <c r="H790" s="23">
        <f>PRODUCT(D790:G790)</f>
        <v>79.64875275</v>
      </c>
    </row>
    <row r="791" spans="1:8" ht="12.75">
      <c r="A791" s="19"/>
      <c r="B791" s="280" t="s">
        <v>552</v>
      </c>
      <c r="C791" s="278" t="s">
        <v>478</v>
      </c>
      <c r="D791" s="20">
        <f>SUM(H790,H789,H788)</f>
        <v>1758.5602400000002</v>
      </c>
      <c r="E791" s="24">
        <v>1</v>
      </c>
      <c r="F791" s="24">
        <v>1</v>
      </c>
      <c r="G791" s="281">
        <v>0.05</v>
      </c>
      <c r="H791" s="23">
        <f>PRODUCT(D791:G791)</f>
        <v>87.92801200000002</v>
      </c>
    </row>
    <row r="792" spans="1:8" ht="12.75">
      <c r="A792" s="19"/>
      <c r="B792" s="282"/>
      <c r="C792" s="27"/>
      <c r="D792" s="19"/>
      <c r="E792" s="19"/>
      <c r="F792" s="19"/>
      <c r="G792" s="19"/>
      <c r="H792" s="20">
        <f>SUM(H788:H791)</f>
        <v>1846.4882520000003</v>
      </c>
    </row>
    <row r="793" spans="1:8" ht="12.75">
      <c r="A793" s="19"/>
      <c r="B793" s="164"/>
      <c r="C793" s="27"/>
      <c r="D793" s="20"/>
      <c r="E793" s="19"/>
      <c r="F793" s="134"/>
      <c r="G793" s="135"/>
      <c r="H793" s="20"/>
    </row>
    <row r="794" spans="1:8" ht="76.5">
      <c r="A794" s="19"/>
      <c r="B794" s="287" t="s">
        <v>571</v>
      </c>
      <c r="C794" s="288"/>
      <c r="D794" s="287"/>
      <c r="E794" s="287"/>
      <c r="F794" s="287"/>
      <c r="G794" s="289"/>
      <c r="H794" s="290"/>
    </row>
    <row r="795" spans="1:11" ht="25.5">
      <c r="A795" s="19"/>
      <c r="B795" s="291" t="s">
        <v>572</v>
      </c>
      <c r="C795" s="292" t="s">
        <v>8</v>
      </c>
      <c r="D795" s="244">
        <v>2206</v>
      </c>
      <c r="E795" s="24">
        <v>1</v>
      </c>
      <c r="F795" s="181">
        <v>1.05</v>
      </c>
      <c r="G795" s="244">
        <v>1</v>
      </c>
      <c r="H795" s="23">
        <f aca="true" t="shared" si="49" ref="H795:H802">PRODUCT(D795:G795)</f>
        <v>2316.3</v>
      </c>
      <c r="J795" s="152"/>
      <c r="K795" s="9"/>
    </row>
    <row r="796" spans="1:11" ht="12.75">
      <c r="A796" s="19"/>
      <c r="B796" s="293" t="s">
        <v>566</v>
      </c>
      <c r="C796" s="292" t="s">
        <v>8</v>
      </c>
      <c r="D796" s="244">
        <v>1261</v>
      </c>
      <c r="E796" s="24">
        <v>1</v>
      </c>
      <c r="F796" s="181">
        <v>1.05</v>
      </c>
      <c r="G796" s="244">
        <v>1</v>
      </c>
      <c r="H796" s="23">
        <f t="shared" si="49"/>
        <v>1324.05</v>
      </c>
      <c r="J796" s="152"/>
      <c r="K796" s="9"/>
    </row>
    <row r="797" spans="1:11" ht="12.75">
      <c r="A797" s="19"/>
      <c r="B797" s="293" t="s">
        <v>567</v>
      </c>
      <c r="C797" s="292" t="s">
        <v>15</v>
      </c>
      <c r="D797" s="244">
        <v>848.6</v>
      </c>
      <c r="E797" s="24">
        <v>1</v>
      </c>
      <c r="F797" s="181">
        <v>1.05</v>
      </c>
      <c r="G797" s="244">
        <v>1</v>
      </c>
      <c r="H797" s="23">
        <f t="shared" si="49"/>
        <v>891.0300000000001</v>
      </c>
      <c r="J797" s="152"/>
      <c r="K797" s="9"/>
    </row>
    <row r="798" spans="1:11" ht="12.75">
      <c r="A798" s="19"/>
      <c r="B798" s="293" t="s">
        <v>568</v>
      </c>
      <c r="C798" s="292" t="s">
        <v>15</v>
      </c>
      <c r="D798" s="244">
        <v>424.35749999999996</v>
      </c>
      <c r="E798" s="24">
        <v>1</v>
      </c>
      <c r="F798" s="181">
        <v>1.05</v>
      </c>
      <c r="G798" s="244">
        <v>1</v>
      </c>
      <c r="H798" s="23">
        <f t="shared" si="49"/>
        <v>445.57537499999995</v>
      </c>
      <c r="J798" s="152"/>
      <c r="K798" s="9"/>
    </row>
    <row r="799" spans="1:11" ht="12.75">
      <c r="A799" s="19"/>
      <c r="B799" s="293" t="s">
        <v>569</v>
      </c>
      <c r="C799" s="292" t="s">
        <v>21</v>
      </c>
      <c r="D799" s="244">
        <v>174.22454700000003</v>
      </c>
      <c r="E799" s="24">
        <v>1</v>
      </c>
      <c r="F799" s="24">
        <v>1</v>
      </c>
      <c r="G799" s="244">
        <v>1</v>
      </c>
      <c r="H799" s="23">
        <f t="shared" si="49"/>
        <v>174.22454700000003</v>
      </c>
      <c r="J799" s="152"/>
      <c r="K799" s="9"/>
    </row>
    <row r="800" spans="1:11" ht="12.75">
      <c r="A800" s="19"/>
      <c r="B800" s="24" t="s">
        <v>570</v>
      </c>
      <c r="C800" s="292" t="s">
        <v>99</v>
      </c>
      <c r="D800" s="244">
        <v>76.38435</v>
      </c>
      <c r="E800" s="24">
        <v>1</v>
      </c>
      <c r="F800" s="24">
        <v>1</v>
      </c>
      <c r="G800" s="244">
        <v>4</v>
      </c>
      <c r="H800" s="23">
        <f t="shared" si="49"/>
        <v>305.5374</v>
      </c>
      <c r="J800" s="152"/>
      <c r="K800" s="9"/>
    </row>
    <row r="801" spans="1:11" ht="12.75">
      <c r="A801" s="19"/>
      <c r="B801" s="293" t="s">
        <v>573</v>
      </c>
      <c r="C801" s="292" t="s">
        <v>73</v>
      </c>
      <c r="D801" s="244">
        <f>'Lista de recursos'!F145</f>
        <v>956.1675</v>
      </c>
      <c r="E801" s="24">
        <v>1</v>
      </c>
      <c r="F801" s="24">
        <v>1</v>
      </c>
      <c r="G801" s="244">
        <v>0.25</v>
      </c>
      <c r="H801" s="23">
        <f t="shared" si="49"/>
        <v>239.041875</v>
      </c>
      <c r="J801" s="152"/>
      <c r="K801" s="9"/>
    </row>
    <row r="802" spans="1:11" ht="12.75">
      <c r="A802" s="19"/>
      <c r="B802" s="293" t="s">
        <v>574</v>
      </c>
      <c r="C802" s="292" t="s">
        <v>99</v>
      </c>
      <c r="D802" s="244">
        <f>'Lista de recursos'!F149</f>
        <v>736.6324999999999</v>
      </c>
      <c r="E802" s="24">
        <v>1</v>
      </c>
      <c r="F802" s="24">
        <v>1</v>
      </c>
      <c r="G802" s="244">
        <v>0.5</v>
      </c>
      <c r="H802" s="23">
        <f t="shared" si="49"/>
        <v>368.31624999999997</v>
      </c>
      <c r="J802" s="152"/>
      <c r="K802" s="9"/>
    </row>
    <row r="803" spans="1:11" ht="12.75">
      <c r="A803" s="19"/>
      <c r="B803" s="288"/>
      <c r="C803" s="292"/>
      <c r="D803" s="294"/>
      <c r="E803" s="292"/>
      <c r="F803" s="292"/>
      <c r="G803" s="295"/>
      <c r="H803" s="29">
        <f>SUM(H795:H802)</f>
        <v>6064.075447</v>
      </c>
      <c r="J803" s="152"/>
      <c r="K803" s="9"/>
    </row>
    <row r="804" spans="1:11" ht="12.75">
      <c r="A804" s="19"/>
      <c r="B804" s="293"/>
      <c r="C804" s="292"/>
      <c r="D804" s="24"/>
      <c r="E804" s="294"/>
      <c r="F804" s="292"/>
      <c r="G804" s="296"/>
      <c r="H804" s="295"/>
      <c r="J804" s="153"/>
      <c r="K804" s="9"/>
    </row>
    <row r="805" spans="1:8" ht="76.5">
      <c r="A805" s="19"/>
      <c r="B805" s="287" t="s">
        <v>575</v>
      </c>
      <c r="C805" s="288"/>
      <c r="D805" s="287"/>
      <c r="E805" s="287"/>
      <c r="F805" s="287"/>
      <c r="G805" s="289"/>
      <c r="H805" s="290"/>
    </row>
    <row r="806" spans="1:8" ht="25.5">
      <c r="A806" s="19"/>
      <c r="B806" s="291" t="s">
        <v>572</v>
      </c>
      <c r="C806" s="292" t="s">
        <v>8</v>
      </c>
      <c r="D806" s="244">
        <v>2206</v>
      </c>
      <c r="E806" s="24">
        <v>0.98</v>
      </c>
      <c r="F806" s="181">
        <v>1.05</v>
      </c>
      <c r="G806" s="244">
        <v>1</v>
      </c>
      <c r="H806" s="23">
        <f aca="true" t="shared" si="50" ref="H806:H812">PRODUCT(D806:G806)</f>
        <v>2269.974</v>
      </c>
    </row>
    <row r="807" spans="1:8" ht="12.75">
      <c r="A807" s="19"/>
      <c r="B807" s="293" t="s">
        <v>566</v>
      </c>
      <c r="C807" s="292" t="s">
        <v>8</v>
      </c>
      <c r="D807" s="244">
        <v>1261</v>
      </c>
      <c r="E807" s="24">
        <v>0.98</v>
      </c>
      <c r="F807" s="181">
        <v>1.05</v>
      </c>
      <c r="G807" s="244">
        <v>1</v>
      </c>
      <c r="H807" s="23">
        <f t="shared" si="50"/>
        <v>1297.569</v>
      </c>
    </row>
    <row r="808" spans="1:8" ht="12.75">
      <c r="A808" s="19"/>
      <c r="B808" s="293" t="s">
        <v>567</v>
      </c>
      <c r="C808" s="292" t="s">
        <v>15</v>
      </c>
      <c r="D808" s="244">
        <v>848.79</v>
      </c>
      <c r="E808" s="24">
        <v>0.98</v>
      </c>
      <c r="F808" s="181">
        <v>1.05</v>
      </c>
      <c r="G808" s="244">
        <v>1</v>
      </c>
      <c r="H808" s="23">
        <f t="shared" si="50"/>
        <v>873.40491</v>
      </c>
    </row>
    <row r="809" spans="1:8" ht="12.75">
      <c r="A809" s="19"/>
      <c r="B809" s="293" t="s">
        <v>568</v>
      </c>
      <c r="C809" s="292" t="s">
        <v>15</v>
      </c>
      <c r="D809" s="244">
        <v>424.9</v>
      </c>
      <c r="E809" s="24">
        <v>1</v>
      </c>
      <c r="F809" s="181">
        <v>1.05</v>
      </c>
      <c r="G809" s="244">
        <v>1</v>
      </c>
      <c r="H809" s="23">
        <f t="shared" si="50"/>
        <v>446.145</v>
      </c>
    </row>
    <row r="810" spans="1:8" ht="12.75">
      <c r="A810" s="19"/>
      <c r="B810" s="293" t="s">
        <v>569</v>
      </c>
      <c r="C810" s="292" t="s">
        <v>21</v>
      </c>
      <c r="D810" s="244">
        <f>SUM(H806:H809)*0.0246</f>
        <v>120.22248558599999</v>
      </c>
      <c r="E810" s="24">
        <v>1</v>
      </c>
      <c r="F810" s="24">
        <v>1</v>
      </c>
      <c r="G810" s="244">
        <v>1</v>
      </c>
      <c r="H810" s="23">
        <f t="shared" si="50"/>
        <v>120.22248558599999</v>
      </c>
    </row>
    <row r="811" spans="1:8" ht="12.75">
      <c r="A811" s="19"/>
      <c r="B811" s="293" t="s">
        <v>573</v>
      </c>
      <c r="C811" s="292" t="s">
        <v>73</v>
      </c>
      <c r="D811" s="244">
        <f>D801</f>
        <v>956.1675</v>
      </c>
      <c r="E811" s="24">
        <v>1</v>
      </c>
      <c r="F811" s="24">
        <v>1</v>
      </c>
      <c r="G811" s="244">
        <v>0.25</v>
      </c>
      <c r="H811" s="23">
        <f t="shared" si="50"/>
        <v>239.041875</v>
      </c>
    </row>
    <row r="812" spans="1:8" ht="12.75">
      <c r="A812" s="19"/>
      <c r="B812" s="293" t="s">
        <v>574</v>
      </c>
      <c r="C812" s="292" t="s">
        <v>99</v>
      </c>
      <c r="D812" s="244">
        <f>D802</f>
        <v>736.6324999999999</v>
      </c>
      <c r="E812" s="24">
        <v>1</v>
      </c>
      <c r="F812" s="24">
        <v>1</v>
      </c>
      <c r="G812" s="244">
        <v>0.25</v>
      </c>
      <c r="H812" s="23">
        <f t="shared" si="50"/>
        <v>184.15812499999998</v>
      </c>
    </row>
    <row r="813" spans="1:8" ht="12.75">
      <c r="A813" s="19"/>
      <c r="B813" s="288"/>
      <c r="C813" s="292"/>
      <c r="D813" s="294"/>
      <c r="E813" s="292"/>
      <c r="F813" s="292"/>
      <c r="G813" s="295"/>
      <c r="H813" s="29">
        <f>SUM(H806:H812)</f>
        <v>5430.515395586</v>
      </c>
    </row>
    <row r="814" spans="1:8" ht="25.5">
      <c r="A814" s="19"/>
      <c r="B814" s="297" t="s">
        <v>576</v>
      </c>
      <c r="C814" s="27"/>
      <c r="D814" s="20"/>
      <c r="E814" s="19"/>
      <c r="F814" s="134"/>
      <c r="G814" s="135"/>
      <c r="H814" s="20"/>
    </row>
    <row r="815" spans="1:8" ht="25.5">
      <c r="A815" s="19"/>
      <c r="B815" s="164" t="s">
        <v>577</v>
      </c>
      <c r="C815" s="27"/>
      <c r="D815" s="20"/>
      <c r="E815" s="19"/>
      <c r="F815" s="134"/>
      <c r="G815" s="135"/>
      <c r="H815" s="20"/>
    </row>
    <row r="816" spans="1:8" ht="114.75">
      <c r="A816" s="19"/>
      <c r="B816" s="298" t="s">
        <v>578</v>
      </c>
      <c r="C816" s="27" t="s">
        <v>122</v>
      </c>
      <c r="D816" s="20">
        <v>995.52</v>
      </c>
      <c r="E816" s="24">
        <v>1</v>
      </c>
      <c r="F816" s="24">
        <v>1</v>
      </c>
      <c r="G816" s="244">
        <v>1</v>
      </c>
      <c r="H816" s="23">
        <f>PRODUCT(D816:G816)</f>
        <v>995.52</v>
      </c>
    </row>
    <row r="817" spans="1:8" ht="12.75">
      <c r="A817" s="19"/>
      <c r="B817" s="164" t="s">
        <v>527</v>
      </c>
      <c r="C817" s="299" t="s">
        <v>21</v>
      </c>
      <c r="D817" s="20">
        <f>SUM(H816)</f>
        <v>995.52</v>
      </c>
      <c r="E817" s="300">
        <v>1</v>
      </c>
      <c r="F817" s="24">
        <v>1</v>
      </c>
      <c r="G817" s="244">
        <v>0.25</v>
      </c>
      <c r="H817" s="23">
        <f>PRODUCT(D817:G817)</f>
        <v>248.88</v>
      </c>
    </row>
    <row r="818" spans="1:8" ht="12.75">
      <c r="A818" s="19"/>
      <c r="B818" s="164"/>
      <c r="C818" s="299"/>
      <c r="D818" s="20"/>
      <c r="E818" s="301"/>
      <c r="F818" s="134"/>
      <c r="G818" s="135"/>
      <c r="H818" s="20">
        <f>SUM(H816:H817)</f>
        <v>1244.4</v>
      </c>
    </row>
    <row r="819" spans="1:8" ht="25.5">
      <c r="A819" s="19"/>
      <c r="B819" s="297" t="s">
        <v>585</v>
      </c>
      <c r="C819" s="299"/>
      <c r="D819" s="20"/>
      <c r="E819" s="301"/>
      <c r="F819" s="134"/>
      <c r="G819" s="135"/>
      <c r="H819" s="20"/>
    </row>
    <row r="820" spans="1:8" ht="25.5">
      <c r="A820" s="19"/>
      <c r="B820" s="164" t="s">
        <v>585</v>
      </c>
      <c r="C820" s="299" t="s">
        <v>15</v>
      </c>
      <c r="D820" s="302">
        <v>9152.4</v>
      </c>
      <c r="E820" s="300">
        <v>1</v>
      </c>
      <c r="F820" s="134">
        <v>1.15</v>
      </c>
      <c r="G820" s="135">
        <v>1</v>
      </c>
      <c r="H820" s="23">
        <f>PRODUCT(D820:G820)</f>
        <v>10525.259999999998</v>
      </c>
    </row>
    <row r="821" spans="1:8" ht="12.75">
      <c r="A821" s="19"/>
      <c r="B821" s="164" t="s">
        <v>583</v>
      </c>
      <c r="C821" s="299" t="s">
        <v>15</v>
      </c>
      <c r="D821" s="303">
        <v>2445.67</v>
      </c>
      <c r="E821" s="300">
        <v>1</v>
      </c>
      <c r="F821" s="134">
        <v>1</v>
      </c>
      <c r="G821" s="135">
        <v>2</v>
      </c>
      <c r="H821" s="23">
        <f>PRODUCT(D821:G821)</f>
        <v>4891.34</v>
      </c>
    </row>
    <row r="822" spans="1:8" ht="12.75">
      <c r="A822" s="19"/>
      <c r="B822" s="164" t="s">
        <v>584</v>
      </c>
      <c r="C822" s="299" t="s">
        <v>15</v>
      </c>
      <c r="D822" s="20">
        <f>405*4</f>
        <v>1620</v>
      </c>
      <c r="E822" s="300">
        <v>1</v>
      </c>
      <c r="F822" s="24">
        <v>1</v>
      </c>
      <c r="G822" s="135">
        <v>4</v>
      </c>
      <c r="H822" s="23">
        <f>PRODUCT(D822:G822)</f>
        <v>6480</v>
      </c>
    </row>
    <row r="823" spans="1:8" ht="12.75">
      <c r="A823" s="19"/>
      <c r="B823" s="164" t="s">
        <v>545</v>
      </c>
      <c r="C823" s="299" t="s">
        <v>21</v>
      </c>
      <c r="D823" s="20">
        <f>SUM(H820:H822)*0.3</f>
        <v>6568.98</v>
      </c>
      <c r="E823" s="300">
        <v>1</v>
      </c>
      <c r="F823" s="24">
        <v>1</v>
      </c>
      <c r="G823" s="135">
        <v>1</v>
      </c>
      <c r="H823" s="23">
        <f>PRODUCT(D823:G823)</f>
        <v>6568.98</v>
      </c>
    </row>
    <row r="824" spans="1:8" ht="12.75">
      <c r="A824" s="523"/>
      <c r="B824" s="164" t="s">
        <v>221</v>
      </c>
      <c r="C824" s="27" t="s">
        <v>21</v>
      </c>
      <c r="D824" s="20">
        <f>SUM(H820:H823)*0.45</f>
        <v>12809.510999999999</v>
      </c>
      <c r="E824" s="24">
        <v>1</v>
      </c>
      <c r="F824" s="24">
        <v>1</v>
      </c>
      <c r="G824" s="135">
        <v>1</v>
      </c>
      <c r="H824" s="23">
        <f>PRODUCT(D824:G824)</f>
        <v>12809.510999999999</v>
      </c>
    </row>
    <row r="825" spans="1:8" ht="12.75">
      <c r="A825" s="523"/>
      <c r="B825" s="164"/>
      <c r="C825" s="27"/>
      <c r="D825" s="20"/>
      <c r="E825" s="19"/>
      <c r="F825" s="134"/>
      <c r="G825" s="135"/>
      <c r="H825" s="20">
        <f>SUM(H820:H824)</f>
        <v>41275.091</v>
      </c>
    </row>
    <row r="826" spans="1:8" ht="12.75">
      <c r="A826" s="523"/>
      <c r="B826" s="304" t="s">
        <v>586</v>
      </c>
      <c r="C826" s="27"/>
      <c r="D826" s="20"/>
      <c r="E826" s="19"/>
      <c r="F826" s="134"/>
      <c r="G826" s="135"/>
      <c r="H826" s="20"/>
    </row>
    <row r="827" spans="1:8" ht="12.75">
      <c r="A827" s="523"/>
      <c r="B827" s="305" t="s">
        <v>586</v>
      </c>
      <c r="C827" s="306" t="s">
        <v>15</v>
      </c>
      <c r="D827" s="303">
        <v>10530</v>
      </c>
      <c r="E827" s="24">
        <v>1</v>
      </c>
      <c r="F827" s="134">
        <v>1.15</v>
      </c>
      <c r="G827" s="307">
        <v>1</v>
      </c>
      <c r="H827" s="23">
        <f>PRODUCT(D827:G827)</f>
        <v>12109.499999999998</v>
      </c>
    </row>
    <row r="828" spans="1:8" ht="12.75">
      <c r="A828" s="523"/>
      <c r="B828" s="305" t="s">
        <v>587</v>
      </c>
      <c r="C828" s="306" t="s">
        <v>15</v>
      </c>
      <c r="D828" s="303">
        <v>847.1</v>
      </c>
      <c r="E828" s="24">
        <v>1</v>
      </c>
      <c r="F828" s="134">
        <v>1</v>
      </c>
      <c r="G828" s="307">
        <v>2</v>
      </c>
      <c r="H828" s="23">
        <f>PRODUCT(D828:G828)</f>
        <v>1694.2</v>
      </c>
    </row>
    <row r="829" spans="1:8" ht="12.75">
      <c r="A829" s="523"/>
      <c r="B829" s="164" t="s">
        <v>545</v>
      </c>
      <c r="C829" s="27" t="s">
        <v>21</v>
      </c>
      <c r="D829" s="20">
        <f>SUM(H826:H828)*0.2452</f>
        <v>3384.6672399999998</v>
      </c>
      <c r="E829" s="24">
        <v>1</v>
      </c>
      <c r="F829" s="24">
        <v>1</v>
      </c>
      <c r="G829" s="135">
        <v>1</v>
      </c>
      <c r="H829" s="23">
        <f>PRODUCT(D829:G829)</f>
        <v>3384.6672399999998</v>
      </c>
    </row>
    <row r="830" spans="1:8" ht="12.75">
      <c r="A830" s="523"/>
      <c r="B830" s="164" t="s">
        <v>221</v>
      </c>
      <c r="C830" s="27" t="s">
        <v>21</v>
      </c>
      <c r="D830" s="20">
        <f>SUM(H826:H829)*0.45</f>
        <v>7734.765258</v>
      </c>
      <c r="E830" s="24">
        <v>1</v>
      </c>
      <c r="F830" s="24">
        <v>1</v>
      </c>
      <c r="G830" s="135">
        <v>1</v>
      </c>
      <c r="H830" s="23">
        <f>PRODUCT(D830:G830)</f>
        <v>7734.765258</v>
      </c>
    </row>
    <row r="831" spans="1:8" ht="12.75">
      <c r="A831" s="523"/>
      <c r="B831" s="164"/>
      <c r="C831" s="27"/>
      <c r="D831" s="20"/>
      <c r="E831" s="19"/>
      <c r="F831" s="134"/>
      <c r="G831" s="135"/>
      <c r="H831" s="20">
        <f>SUM(H827:H830)</f>
        <v>24923.132498</v>
      </c>
    </row>
    <row r="832" spans="1:8" ht="12.75">
      <c r="A832" s="19"/>
      <c r="B832" s="297" t="s">
        <v>428</v>
      </c>
      <c r="C832" s="27"/>
      <c r="D832" s="20"/>
      <c r="E832" s="19"/>
      <c r="F832" s="134"/>
      <c r="G832" s="135"/>
      <c r="H832" s="20"/>
    </row>
    <row r="833" spans="1:8" ht="12.75">
      <c r="A833" s="19"/>
      <c r="B833" s="164" t="s">
        <v>428</v>
      </c>
      <c r="C833" s="27" t="s">
        <v>129</v>
      </c>
      <c r="D833" s="245">
        <v>125</v>
      </c>
      <c r="E833" s="24">
        <v>1</v>
      </c>
      <c r="F833" s="307">
        <v>1.1</v>
      </c>
      <c r="G833" s="23">
        <v>1</v>
      </c>
      <c r="H833" s="23">
        <f>PRODUCT(D833:G833)</f>
        <v>137.5</v>
      </c>
    </row>
    <row r="834" spans="1:8" ht="12.75">
      <c r="A834" s="19"/>
      <c r="B834" s="164" t="s">
        <v>545</v>
      </c>
      <c r="C834" s="27" t="s">
        <v>21</v>
      </c>
      <c r="D834" s="20">
        <f>SUM(H833)*0.02452</f>
        <v>3.3715</v>
      </c>
      <c r="E834" s="24">
        <v>1</v>
      </c>
      <c r="F834" s="24">
        <v>1</v>
      </c>
      <c r="G834" s="135">
        <v>1</v>
      </c>
      <c r="H834" s="23">
        <f>PRODUCT(D834:G834)</f>
        <v>3.3715</v>
      </c>
    </row>
    <row r="835" spans="1:8" ht="12.75">
      <c r="A835" s="19"/>
      <c r="B835" s="164" t="s">
        <v>221</v>
      </c>
      <c r="C835" s="27" t="s">
        <v>21</v>
      </c>
      <c r="D835" s="20">
        <f>SUM(H833)*0.1</f>
        <v>13.75</v>
      </c>
      <c r="E835" s="24">
        <v>1</v>
      </c>
      <c r="F835" s="24">
        <v>1</v>
      </c>
      <c r="G835" s="135">
        <v>1</v>
      </c>
      <c r="H835" s="23">
        <f>PRODUCT(D835:G835)</f>
        <v>13.75</v>
      </c>
    </row>
    <row r="836" spans="1:8" ht="12.75">
      <c r="A836" s="19"/>
      <c r="B836" s="164"/>
      <c r="C836" s="27"/>
      <c r="D836" s="20"/>
      <c r="E836" s="19"/>
      <c r="F836" s="134"/>
      <c r="G836" s="135"/>
      <c r="H836" s="20">
        <f>SUM(H833:H835)</f>
        <v>154.6215</v>
      </c>
    </row>
    <row r="837" spans="1:8" ht="12.75">
      <c r="A837" s="19"/>
      <c r="B837" s="297" t="s">
        <v>432</v>
      </c>
      <c r="C837" s="27"/>
      <c r="D837" s="20"/>
      <c r="E837" s="19"/>
      <c r="F837" s="134"/>
      <c r="G837" s="135"/>
      <c r="H837" s="20"/>
    </row>
    <row r="838" spans="1:8" ht="12.75">
      <c r="A838" s="19"/>
      <c r="B838" s="164" t="s">
        <v>432</v>
      </c>
      <c r="C838" s="27" t="s">
        <v>12</v>
      </c>
      <c r="D838" s="20">
        <v>776.35</v>
      </c>
      <c r="E838" s="24">
        <v>1</v>
      </c>
      <c r="F838" s="24">
        <v>1</v>
      </c>
      <c r="G838" s="135">
        <v>1</v>
      </c>
      <c r="H838" s="23">
        <f>PRODUCT(D838:G838)</f>
        <v>776.35</v>
      </c>
    </row>
    <row r="839" spans="1:8" ht="12.75">
      <c r="A839" s="19"/>
      <c r="B839" s="164"/>
      <c r="C839" s="27"/>
      <c r="D839" s="20"/>
      <c r="E839" s="19"/>
      <c r="F839" s="134"/>
      <c r="G839" s="135"/>
      <c r="H839" s="20">
        <f>SUM(H838)</f>
        <v>776.35</v>
      </c>
    </row>
    <row r="840" spans="1:8" ht="51">
      <c r="A840" s="19"/>
      <c r="B840" s="297" t="s">
        <v>433</v>
      </c>
      <c r="C840" s="27"/>
      <c r="D840" s="20"/>
      <c r="E840" s="19"/>
      <c r="F840" s="134"/>
      <c r="G840" s="135"/>
      <c r="H840" s="20"/>
    </row>
    <row r="841" spans="1:8" ht="12.75">
      <c r="A841" s="525"/>
      <c r="B841" s="164" t="s">
        <v>130</v>
      </c>
      <c r="C841" s="27" t="s">
        <v>73</v>
      </c>
      <c r="D841" s="308">
        <v>1490</v>
      </c>
      <c r="E841" s="19">
        <v>1</v>
      </c>
      <c r="F841" s="19">
        <v>1</v>
      </c>
      <c r="G841" s="308">
        <v>0.1</v>
      </c>
      <c r="H841" s="309">
        <f aca="true" t="shared" si="51" ref="H841:H846">PRODUCT(D841:G841)</f>
        <v>149</v>
      </c>
    </row>
    <row r="842" spans="1:8" ht="12.75">
      <c r="A842" s="525"/>
      <c r="B842" s="164" t="s">
        <v>132</v>
      </c>
      <c r="C842" s="27" t="s">
        <v>122</v>
      </c>
      <c r="D842" s="308">
        <f>293.745</f>
        <v>293.745</v>
      </c>
      <c r="E842" s="19">
        <v>1</v>
      </c>
      <c r="F842" s="19">
        <v>1</v>
      </c>
      <c r="G842" s="308">
        <f>1*2.1*10.76</f>
        <v>22.596</v>
      </c>
      <c r="H842" s="309">
        <f t="shared" si="51"/>
        <v>6637.46202</v>
      </c>
    </row>
    <row r="843" spans="1:8" ht="12.75">
      <c r="A843" s="525"/>
      <c r="B843" s="164" t="s">
        <v>133</v>
      </c>
      <c r="C843" s="27" t="s">
        <v>129</v>
      </c>
      <c r="D843" s="308">
        <v>121.09511499999999</v>
      </c>
      <c r="E843" s="19">
        <v>1</v>
      </c>
      <c r="F843" s="19">
        <v>1</v>
      </c>
      <c r="G843" s="308">
        <f>(2.1*2+2)*3.28</f>
        <v>20.336</v>
      </c>
      <c r="H843" s="309">
        <f t="shared" si="51"/>
        <v>2462.59025864</v>
      </c>
    </row>
    <row r="844" spans="1:8" ht="12.75">
      <c r="A844" s="525"/>
      <c r="B844" s="164" t="s">
        <v>134</v>
      </c>
      <c r="C844" s="27" t="s">
        <v>73</v>
      </c>
      <c r="D844" s="308">
        <f>'Lista de recursos'!F228</f>
        <v>1363.99</v>
      </c>
      <c r="E844" s="19">
        <v>1</v>
      </c>
      <c r="F844" s="19">
        <v>1</v>
      </c>
      <c r="G844" s="308">
        <v>0.1</v>
      </c>
      <c r="H844" s="309">
        <f t="shared" si="51"/>
        <v>136.399</v>
      </c>
    </row>
    <row r="845" spans="1:8" ht="12.75">
      <c r="A845" s="525"/>
      <c r="B845" s="164" t="s">
        <v>135</v>
      </c>
      <c r="C845" s="27" t="s">
        <v>73</v>
      </c>
      <c r="D845" s="308">
        <f>'Lista de recursos'!F229</f>
        <v>736.63</v>
      </c>
      <c r="E845" s="19">
        <v>1</v>
      </c>
      <c r="F845" s="19">
        <v>1</v>
      </c>
      <c r="G845" s="308">
        <v>0.1</v>
      </c>
      <c r="H845" s="309">
        <f t="shared" si="51"/>
        <v>73.663</v>
      </c>
    </row>
    <row r="846" spans="1:8" ht="12.75">
      <c r="A846" s="525"/>
      <c r="B846" s="164" t="s">
        <v>588</v>
      </c>
      <c r="C846" s="27" t="s">
        <v>12</v>
      </c>
      <c r="D846" s="20">
        <v>819</v>
      </c>
      <c r="E846" s="24">
        <v>1</v>
      </c>
      <c r="F846" s="24">
        <v>1</v>
      </c>
      <c r="G846" s="135">
        <f>1/(2.1*3.28)</f>
        <v>0.14518002322880372</v>
      </c>
      <c r="H846" s="23">
        <f t="shared" si="51"/>
        <v>118.90243902439025</v>
      </c>
    </row>
    <row r="847" spans="1:9" ht="12.75">
      <c r="A847" s="525"/>
      <c r="B847" s="164"/>
      <c r="C847" s="19"/>
      <c r="D847" s="308"/>
      <c r="E847" s="19"/>
      <c r="F847" s="19"/>
      <c r="G847" s="308"/>
      <c r="H847" s="309">
        <f>SUM(H841:H846)/(2.1*10.76)</f>
        <v>423.8810726528762</v>
      </c>
      <c r="I847" s="157"/>
    </row>
    <row r="848" spans="1:9" ht="51">
      <c r="A848" s="19"/>
      <c r="B848" s="297" t="s">
        <v>433</v>
      </c>
      <c r="C848" s="27"/>
      <c r="D848" s="20"/>
      <c r="E848" s="19"/>
      <c r="F848" s="134"/>
      <c r="G848" s="135"/>
      <c r="H848" s="20"/>
      <c r="I848" s="157"/>
    </row>
    <row r="849" spans="1:9" ht="12.75">
      <c r="A849" s="19"/>
      <c r="B849" s="164" t="s">
        <v>130</v>
      </c>
      <c r="C849" s="27" t="s">
        <v>73</v>
      </c>
      <c r="D849" s="308">
        <f aca="true" t="shared" si="52" ref="D849:D854">D841</f>
        <v>1490</v>
      </c>
      <c r="E849" s="19">
        <v>1</v>
      </c>
      <c r="F849" s="19">
        <v>1</v>
      </c>
      <c r="G849" s="308">
        <v>0.15</v>
      </c>
      <c r="H849" s="309">
        <f aca="true" t="shared" si="53" ref="H849:H856">PRODUCT(D849:G849)</f>
        <v>223.5</v>
      </c>
      <c r="I849" s="157"/>
    </row>
    <row r="850" spans="1:9" ht="12.75">
      <c r="A850" s="19"/>
      <c r="B850" s="164" t="s">
        <v>132</v>
      </c>
      <c r="C850" s="27" t="s">
        <v>122</v>
      </c>
      <c r="D850" s="308">
        <f t="shared" si="52"/>
        <v>293.745</v>
      </c>
      <c r="E850" s="19">
        <v>1.1</v>
      </c>
      <c r="F850" s="19">
        <v>1</v>
      </c>
      <c r="G850" s="308">
        <f>1*2.1*10.76</f>
        <v>22.596</v>
      </c>
      <c r="H850" s="309">
        <f t="shared" si="53"/>
        <v>7301.208222</v>
      </c>
      <c r="I850" s="157"/>
    </row>
    <row r="851" spans="1:8" ht="12.75">
      <c r="A851" s="19"/>
      <c r="B851" s="164" t="s">
        <v>133</v>
      </c>
      <c r="C851" s="27" t="s">
        <v>129</v>
      </c>
      <c r="D851" s="308">
        <f t="shared" si="52"/>
        <v>121.09511499999999</v>
      </c>
      <c r="E851" s="19">
        <v>1.1</v>
      </c>
      <c r="F851" s="19">
        <v>1</v>
      </c>
      <c r="G851" s="308">
        <f>(2.1*2+2)*3.28</f>
        <v>20.336</v>
      </c>
      <c r="H851" s="309">
        <f t="shared" si="53"/>
        <v>2708.8492845039996</v>
      </c>
    </row>
    <row r="852" spans="1:8" ht="12.75">
      <c r="A852" s="19"/>
      <c r="B852" s="164" t="s">
        <v>134</v>
      </c>
      <c r="C852" s="27" t="s">
        <v>73</v>
      </c>
      <c r="D852" s="308">
        <f t="shared" si="52"/>
        <v>1363.99</v>
      </c>
      <c r="E852" s="19">
        <v>1</v>
      </c>
      <c r="F852" s="19">
        <v>1</v>
      </c>
      <c r="G852" s="308">
        <v>0.15</v>
      </c>
      <c r="H852" s="309">
        <f t="shared" si="53"/>
        <v>204.5985</v>
      </c>
    </row>
    <row r="853" spans="1:8" ht="12.75">
      <c r="A853" s="19"/>
      <c r="B853" s="164" t="s">
        <v>135</v>
      </c>
      <c r="C853" s="27" t="s">
        <v>73</v>
      </c>
      <c r="D853" s="308">
        <f t="shared" si="52"/>
        <v>736.63</v>
      </c>
      <c r="E853" s="19">
        <v>1</v>
      </c>
      <c r="F853" s="19">
        <v>1</v>
      </c>
      <c r="G853" s="308">
        <v>0.15</v>
      </c>
      <c r="H853" s="309">
        <f t="shared" si="53"/>
        <v>110.4945</v>
      </c>
    </row>
    <row r="854" spans="1:8" ht="12.75">
      <c r="A854" s="19"/>
      <c r="B854" s="164" t="s">
        <v>588</v>
      </c>
      <c r="C854" s="27" t="s">
        <v>12</v>
      </c>
      <c r="D854" s="308">
        <f t="shared" si="52"/>
        <v>819</v>
      </c>
      <c r="E854" s="24">
        <v>1.1</v>
      </c>
      <c r="F854" s="24">
        <v>1</v>
      </c>
      <c r="G854" s="135">
        <v>1</v>
      </c>
      <c r="H854" s="23">
        <f t="shared" si="53"/>
        <v>900.9000000000001</v>
      </c>
    </row>
    <row r="855" spans="1:8" ht="12.75">
      <c r="A855" s="19"/>
      <c r="B855" s="164" t="s">
        <v>590</v>
      </c>
      <c r="C855" s="27" t="s">
        <v>15</v>
      </c>
      <c r="D855" s="23">
        <v>1065</v>
      </c>
      <c r="E855" s="19">
        <v>1</v>
      </c>
      <c r="F855" s="19">
        <v>1</v>
      </c>
      <c r="G855" s="135">
        <v>1</v>
      </c>
      <c r="H855" s="23">
        <f t="shared" si="53"/>
        <v>1065</v>
      </c>
    </row>
    <row r="856" spans="1:8" ht="12.75">
      <c r="A856" s="19"/>
      <c r="B856" s="164" t="s">
        <v>589</v>
      </c>
      <c r="C856" s="27" t="s">
        <v>12</v>
      </c>
      <c r="D856" s="20">
        <f>(565.9-423.61)*2</f>
        <v>284.5799999999999</v>
      </c>
      <c r="E856" s="24">
        <v>1.1</v>
      </c>
      <c r="F856" s="24">
        <v>1</v>
      </c>
      <c r="G856" s="135">
        <v>1</v>
      </c>
      <c r="H856" s="23">
        <f t="shared" si="53"/>
        <v>313.03799999999995</v>
      </c>
    </row>
    <row r="857" spans="1:8" ht="12.75">
      <c r="A857" s="19"/>
      <c r="B857" s="164"/>
      <c r="C857" s="19"/>
      <c r="D857" s="308"/>
      <c r="E857" s="19"/>
      <c r="F857" s="19"/>
      <c r="G857" s="308"/>
      <c r="H857" s="308">
        <f>SUM(H849:H856)/(2.1*10.76)</f>
        <v>567.69288840963</v>
      </c>
    </row>
    <row r="858" spans="1:8" ht="12.75">
      <c r="A858" s="19"/>
      <c r="B858" s="310" t="s">
        <v>591</v>
      </c>
      <c r="C858" s="311"/>
      <c r="D858" s="312"/>
      <c r="E858" s="223"/>
      <c r="F858" s="313"/>
      <c r="G858" s="181"/>
      <c r="H858" s="20"/>
    </row>
    <row r="859" spans="1:8" ht="12.75">
      <c r="A859" s="19"/>
      <c r="B859" s="263" t="s">
        <v>592</v>
      </c>
      <c r="C859" s="314" t="s">
        <v>358</v>
      </c>
      <c r="D859" s="180">
        <v>2033.46192008</v>
      </c>
      <c r="E859" s="19">
        <v>1</v>
      </c>
      <c r="F859" s="19">
        <v>1</v>
      </c>
      <c r="G859" s="135">
        <v>1</v>
      </c>
      <c r="H859" s="23">
        <f>PRODUCT(D859:G859)</f>
        <v>2033.46192008</v>
      </c>
    </row>
    <row r="860" spans="1:8" ht="12.75">
      <c r="A860" s="19"/>
      <c r="B860" s="263" t="s">
        <v>593</v>
      </c>
      <c r="C860" s="314" t="s">
        <v>358</v>
      </c>
      <c r="D860" s="180">
        <v>4591.96</v>
      </c>
      <c r="E860" s="19">
        <v>1</v>
      </c>
      <c r="F860" s="19">
        <v>1</v>
      </c>
      <c r="G860" s="135">
        <v>1</v>
      </c>
      <c r="H860" s="23">
        <f>PRODUCT(D860:G860)</f>
        <v>4591.96</v>
      </c>
    </row>
    <row r="861" spans="1:8" ht="12.75">
      <c r="A861" s="19"/>
      <c r="B861" s="164"/>
      <c r="C861" s="27"/>
      <c r="D861" s="20"/>
      <c r="E861" s="19"/>
      <c r="F861" s="134"/>
      <c r="G861" s="135"/>
      <c r="H861" s="20">
        <f>SUM(H859:H860)</f>
        <v>6625.42192008</v>
      </c>
    </row>
    <row r="862" spans="1:8" ht="38.25">
      <c r="A862" s="19"/>
      <c r="B862" s="304" t="s">
        <v>435</v>
      </c>
      <c r="C862" s="27"/>
      <c r="D862" s="20"/>
      <c r="E862" s="19"/>
      <c r="F862" s="134"/>
      <c r="G862" s="135"/>
      <c r="H862" s="20"/>
    </row>
    <row r="863" spans="1:8" ht="12.75">
      <c r="A863" s="19"/>
      <c r="B863" s="305" t="s">
        <v>595</v>
      </c>
      <c r="C863" s="306" t="s">
        <v>15</v>
      </c>
      <c r="D863" s="303">
        <v>3310.18</v>
      </c>
      <c r="E863" s="24">
        <v>1</v>
      </c>
      <c r="F863" s="134">
        <v>1.15</v>
      </c>
      <c r="G863" s="307">
        <v>1</v>
      </c>
      <c r="H863" s="23">
        <f>PRODUCT(D863:G863)</f>
        <v>3806.7069999999994</v>
      </c>
    </row>
    <row r="864" spans="1:8" ht="12.75">
      <c r="A864" s="19"/>
      <c r="B864" s="305" t="s">
        <v>596</v>
      </c>
      <c r="C864" s="306" t="s">
        <v>15</v>
      </c>
      <c r="D864" s="303">
        <v>298</v>
      </c>
      <c r="E864" s="24">
        <v>1</v>
      </c>
      <c r="F864" s="134">
        <v>1</v>
      </c>
      <c r="G864" s="307">
        <v>2</v>
      </c>
      <c r="H864" s="23">
        <f>PRODUCT(D864:G864)</f>
        <v>596</v>
      </c>
    </row>
    <row r="865" spans="1:8" ht="12.75">
      <c r="A865" s="19"/>
      <c r="B865" s="164" t="s">
        <v>597</v>
      </c>
      <c r="C865" s="27" t="s">
        <v>21</v>
      </c>
      <c r="D865" s="20">
        <f>SUM(H862:H864)*0.1005</f>
        <v>442.47205349999996</v>
      </c>
      <c r="E865" s="24">
        <v>1</v>
      </c>
      <c r="F865" s="24">
        <v>1</v>
      </c>
      <c r="G865" s="135">
        <v>1</v>
      </c>
      <c r="H865" s="23">
        <f>PRODUCT(D865:G865)</f>
        <v>442.47205349999996</v>
      </c>
    </row>
    <row r="866" spans="1:8" ht="12.75">
      <c r="A866" s="19"/>
      <c r="B866" s="164" t="s">
        <v>221</v>
      </c>
      <c r="C866" s="27" t="s">
        <v>21</v>
      </c>
      <c r="D866" s="20">
        <f>SUM(H862:H865)*0.1</f>
        <v>484.5179053499999</v>
      </c>
      <c r="E866" s="24">
        <v>1</v>
      </c>
      <c r="F866" s="24">
        <v>1</v>
      </c>
      <c r="G866" s="135">
        <v>1</v>
      </c>
      <c r="H866" s="23">
        <f>PRODUCT(D866:G866)</f>
        <v>484.5179053499999</v>
      </c>
    </row>
    <row r="867" spans="1:8" ht="12.75">
      <c r="A867" s="19"/>
      <c r="B867" s="164"/>
      <c r="C867" s="27"/>
      <c r="D867" s="20"/>
      <c r="E867" s="19"/>
      <c r="F867" s="134"/>
      <c r="G867" s="135"/>
      <c r="H867" s="20">
        <f>SUM(H863:H866)</f>
        <v>5329.696958849999</v>
      </c>
    </row>
    <row r="868" spans="1:8" ht="12.75">
      <c r="A868" s="19"/>
      <c r="B868" s="283" t="s">
        <v>447</v>
      </c>
      <c r="C868" s="19"/>
      <c r="D868" s="19"/>
      <c r="E868" s="19"/>
      <c r="F868" s="19"/>
      <c r="G868" s="19"/>
      <c r="H868" s="20"/>
    </row>
    <row r="869" spans="1:10" ht="12.75">
      <c r="A869" s="19"/>
      <c r="B869" s="277" t="s">
        <v>740</v>
      </c>
      <c r="C869" s="278" t="s">
        <v>737</v>
      </c>
      <c r="D869" s="20">
        <f>'Lista de recursos'!F28</f>
        <v>270</v>
      </c>
      <c r="E869" s="19">
        <v>1</v>
      </c>
      <c r="F869" s="489">
        <v>1</v>
      </c>
      <c r="G869" s="279">
        <v>0.04</v>
      </c>
      <c r="H869" s="25">
        <f aca="true" t="shared" si="54" ref="H869:H875">PRODUCT(D869:G869)</f>
        <v>10.8</v>
      </c>
      <c r="J869" s="488"/>
    </row>
    <row r="870" spans="1:10" ht="12.75">
      <c r="A870" s="19"/>
      <c r="B870" s="277" t="s">
        <v>641</v>
      </c>
      <c r="C870" s="278" t="s">
        <v>7</v>
      </c>
      <c r="D870" s="20">
        <f>'Lista de recursos'!F19</f>
        <v>900</v>
      </c>
      <c r="E870" s="19">
        <v>1</v>
      </c>
      <c r="F870" s="489">
        <v>1</v>
      </c>
      <c r="G870" s="279">
        <v>0.01</v>
      </c>
      <c r="H870" s="25">
        <f t="shared" si="54"/>
        <v>9</v>
      </c>
      <c r="J870" s="488"/>
    </row>
    <row r="871" spans="1:10" ht="12.75">
      <c r="A871" s="19"/>
      <c r="B871" s="277" t="s">
        <v>66</v>
      </c>
      <c r="C871" s="278" t="s">
        <v>7</v>
      </c>
      <c r="D871" s="20">
        <f>'Analisis de costos'!G202</f>
        <v>53.06</v>
      </c>
      <c r="E871" s="19">
        <v>1</v>
      </c>
      <c r="F871" s="489">
        <v>1</v>
      </c>
      <c r="G871" s="279">
        <v>0.05</v>
      </c>
      <c r="H871" s="25">
        <f t="shared" si="54"/>
        <v>2.6530000000000005</v>
      </c>
      <c r="J871" s="488"/>
    </row>
    <row r="872" spans="1:10" ht="12.75">
      <c r="A872" s="19"/>
      <c r="B872" s="277" t="s">
        <v>743</v>
      </c>
      <c r="C872" s="278" t="s">
        <v>159</v>
      </c>
      <c r="D872" s="20">
        <v>579.88</v>
      </c>
      <c r="E872" s="19">
        <v>1</v>
      </c>
      <c r="F872" s="489">
        <v>1</v>
      </c>
      <c r="G872" s="279" t="s">
        <v>738</v>
      </c>
      <c r="H872" s="25">
        <f t="shared" si="54"/>
        <v>579.88</v>
      </c>
      <c r="J872" s="488"/>
    </row>
    <row r="873" spans="1:10" ht="12.75">
      <c r="A873" s="19"/>
      <c r="B873" s="277" t="s">
        <v>741</v>
      </c>
      <c r="C873" s="278" t="s">
        <v>739</v>
      </c>
      <c r="D873" s="20">
        <f>'Lista de recursos'!F148/8</f>
        <v>71.58031249999999</v>
      </c>
      <c r="E873" s="19">
        <v>1</v>
      </c>
      <c r="F873" s="489">
        <v>1</v>
      </c>
      <c r="G873" s="279">
        <v>2</v>
      </c>
      <c r="H873" s="25">
        <f t="shared" si="54"/>
        <v>143.16062499999998</v>
      </c>
      <c r="J873" s="488"/>
    </row>
    <row r="874" spans="1:10" ht="12.75">
      <c r="A874" s="19"/>
      <c r="B874" s="277" t="s">
        <v>742</v>
      </c>
      <c r="C874" s="278" t="s">
        <v>739</v>
      </c>
      <c r="D874" s="20">
        <f>'Lista de recursos'!F149/8</f>
        <v>92.07906249999999</v>
      </c>
      <c r="E874" s="19">
        <v>1</v>
      </c>
      <c r="F874" s="489">
        <v>1</v>
      </c>
      <c r="G874" s="279">
        <v>2</v>
      </c>
      <c r="H874" s="25">
        <f t="shared" si="54"/>
        <v>184.15812499999998</v>
      </c>
      <c r="J874" s="488"/>
    </row>
    <row r="875" spans="1:8" ht="12.75">
      <c r="A875" s="19"/>
      <c r="B875" s="277" t="s">
        <v>477</v>
      </c>
      <c r="C875" s="277"/>
      <c r="D875" s="286">
        <v>0.05</v>
      </c>
      <c r="E875" s="19">
        <v>1</v>
      </c>
      <c r="F875" s="489">
        <v>1</v>
      </c>
      <c r="G875" s="279">
        <f>SUM(H869:H872)</f>
        <v>602.333</v>
      </c>
      <c r="H875" s="25">
        <f t="shared" si="54"/>
        <v>30.11665</v>
      </c>
    </row>
    <row r="876" spans="1:10" ht="12.75">
      <c r="A876" s="19"/>
      <c r="B876" s="658"/>
      <c r="C876" s="658"/>
      <c r="D876" s="658"/>
      <c r="E876" s="658"/>
      <c r="F876" s="658"/>
      <c r="G876" s="490"/>
      <c r="H876" s="135">
        <f>SUM(H869:H875)</f>
        <v>959.7684</v>
      </c>
      <c r="J876"/>
    </row>
    <row r="877" spans="1:8" ht="38.25">
      <c r="A877" s="19"/>
      <c r="B877" s="491" t="s">
        <v>744</v>
      </c>
      <c r="C877" s="19"/>
      <c r="D877" s="19"/>
      <c r="E877" s="19"/>
      <c r="F877" s="19"/>
      <c r="G877" s="19"/>
      <c r="H877" s="20"/>
    </row>
    <row r="878" spans="1:8" ht="38.25">
      <c r="A878" s="19"/>
      <c r="B878" s="492" t="s">
        <v>744</v>
      </c>
      <c r="C878" s="278" t="s">
        <v>15</v>
      </c>
      <c r="D878" s="493">
        <v>1154.25</v>
      </c>
      <c r="E878" s="19">
        <v>1</v>
      </c>
      <c r="F878" s="489">
        <v>1</v>
      </c>
      <c r="G878" s="279">
        <v>1</v>
      </c>
      <c r="H878" s="25">
        <f>PRODUCT(D878:G878)</f>
        <v>1154.25</v>
      </c>
    </row>
    <row r="879" spans="1:8" ht="12.75">
      <c r="A879" s="19"/>
      <c r="B879" s="658"/>
      <c r="C879" s="658"/>
      <c r="D879" s="658"/>
      <c r="E879" s="658"/>
      <c r="F879" s="658"/>
      <c r="G879" s="490"/>
      <c r="H879" s="135">
        <f>SUM(H878:H878)</f>
        <v>1154.25</v>
      </c>
    </row>
  </sheetData>
  <sheetProtection/>
  <mergeCells count="12">
    <mergeCell ref="F1:G1"/>
    <mergeCell ref="B2:H2"/>
    <mergeCell ref="B8:H8"/>
    <mergeCell ref="C3:D3"/>
    <mergeCell ref="C4:D4"/>
    <mergeCell ref="B361:C361"/>
    <mergeCell ref="B876:F876"/>
    <mergeCell ref="B879:F879"/>
    <mergeCell ref="B772:G772"/>
    <mergeCell ref="E5:G5"/>
    <mergeCell ref="F4:H4"/>
    <mergeCell ref="E3:H3"/>
  </mergeCells>
  <conditionalFormatting sqref="O338:O341 B653:G653 G654:G661 B654:D661">
    <cfRule type="containsBlanks" priority="12" dxfId="0">
      <formula>LEN(TRIM(B338))=0</formula>
    </cfRule>
  </conditionalFormatting>
  <hyperlinks>
    <hyperlink ref="B7" r:id="rId1" display="remotercsrl@gmail.com"/>
  </hyperlinks>
  <printOptions/>
  <pageMargins left="0.748031496062992" right="0.748031496062992" top="0.984251968503937" bottom="0.984251968503937" header="0.511811023622047" footer="0.511811023622047"/>
  <pageSetup horizontalDpi="600" verticalDpi="600" orientation="portrait" scale="83"/>
  <headerFooter alignWithMargins="0">
    <oddFooter>&amp;LAnalisis de costos 
&amp;C&amp;P de &amp;N&amp;R
</oddFooter>
  </headerFooter>
  <colBreaks count="1" manualBreakCount="1">
    <brk id="8" max="788" man="1"/>
  </colBreaks>
  <ignoredErrors>
    <ignoredError sqref="H566 D634 D218 D278 D533 D295 D478 D375 D391 D254 D257" formula="1"/>
    <ignoredError sqref="H48" formulaRange="1"/>
    <ignoredError sqref="D59" unlockedFormula="1"/>
  </ignoredErrors>
</worksheet>
</file>

<file path=xl/worksheets/sheet3.xml><?xml version="1.0" encoding="utf-8"?>
<worksheet xmlns="http://schemas.openxmlformats.org/spreadsheetml/2006/main" xmlns:r="http://schemas.openxmlformats.org/officeDocument/2006/relationships">
  <dimension ref="A1:K169"/>
  <sheetViews>
    <sheetView showGridLines="0" tabSelected="1" zoomScale="70" zoomScaleNormal="70" zoomScaleSheetLayoutView="100" zoomScalePageLayoutView="0" workbookViewId="0" topLeftCell="A1">
      <selection activeCell="G88" sqref="E86:G88"/>
    </sheetView>
  </sheetViews>
  <sheetFormatPr defaultColWidth="11.421875" defaultRowHeight="12.75"/>
  <cols>
    <col min="1" max="1" width="11.421875" style="544" customWidth="1"/>
    <col min="2" max="2" width="76.421875" style="544" customWidth="1"/>
    <col min="3" max="3" width="13.7109375" style="544" customWidth="1"/>
    <col min="4" max="4" width="10.8515625" style="544" customWidth="1"/>
    <col min="5" max="5" width="22.57421875" style="544" customWidth="1"/>
    <col min="6" max="6" width="28.57421875" style="552" customWidth="1"/>
    <col min="7" max="7" width="29.7109375" style="544" customWidth="1"/>
    <col min="8" max="8" width="11.421875" style="544" customWidth="1"/>
    <col min="9" max="9" width="21.8515625" style="544" customWidth="1"/>
    <col min="10" max="10" width="11.421875" style="544" customWidth="1"/>
    <col min="11" max="11" width="17.7109375" style="544" bestFit="1" customWidth="1"/>
    <col min="12" max="16384" width="11.421875" style="544" customWidth="1"/>
  </cols>
  <sheetData>
    <row r="1" spans="1:7" ht="63" customHeight="1">
      <c r="A1" s="680" t="s">
        <v>825</v>
      </c>
      <c r="B1" s="681"/>
      <c r="C1" s="681"/>
      <c r="D1" s="681"/>
      <c r="E1" s="681"/>
      <c r="F1" s="681"/>
      <c r="G1" s="682"/>
    </row>
    <row r="2" spans="1:7" ht="27.75" customHeight="1" thickBot="1">
      <c r="A2" s="683"/>
      <c r="B2" s="684"/>
      <c r="C2" s="684"/>
      <c r="D2" s="684"/>
      <c r="E2" s="684"/>
      <c r="F2" s="684"/>
      <c r="G2" s="685"/>
    </row>
    <row r="3" spans="1:7" ht="23.25" customHeight="1">
      <c r="A3" s="686"/>
      <c r="B3" s="686"/>
      <c r="C3" s="687" t="s">
        <v>765</v>
      </c>
      <c r="D3" s="688"/>
      <c r="E3" s="688" t="s">
        <v>833</v>
      </c>
      <c r="F3" s="688"/>
      <c r="G3" s="691"/>
    </row>
    <row r="4" spans="1:7" ht="23.25" customHeight="1" thickBot="1">
      <c r="A4" s="693"/>
      <c r="B4" s="693"/>
      <c r="C4" s="689"/>
      <c r="D4" s="690"/>
      <c r="E4" s="690"/>
      <c r="F4" s="690"/>
      <c r="G4" s="692"/>
    </row>
    <row r="5" spans="1:7" ht="23.25" customHeight="1">
      <c r="A5" s="673"/>
      <c r="B5" s="673"/>
      <c r="F5" s="676" t="s">
        <v>834</v>
      </c>
      <c r="G5" s="676"/>
    </row>
    <row r="6" spans="1:6" ht="24" customHeight="1">
      <c r="A6" s="675"/>
      <c r="B6" s="673"/>
      <c r="F6" s="544"/>
    </row>
    <row r="7" spans="1:7" ht="23.25">
      <c r="A7" s="539"/>
      <c r="B7" s="534"/>
      <c r="C7" s="534"/>
      <c r="D7" s="534"/>
      <c r="E7" s="533"/>
      <c r="F7" s="535"/>
      <c r="G7" s="533"/>
    </row>
    <row r="8" spans="1:7" s="545" customFormat="1" ht="23.25">
      <c r="A8" s="677" t="s">
        <v>385</v>
      </c>
      <c r="B8" s="678"/>
      <c r="C8" s="678"/>
      <c r="D8" s="678"/>
      <c r="E8" s="678"/>
      <c r="F8" s="678"/>
      <c r="G8" s="679"/>
    </row>
    <row r="9" spans="1:7" ht="23.25">
      <c r="A9" s="618" t="s">
        <v>824</v>
      </c>
      <c r="B9" s="563" t="s">
        <v>386</v>
      </c>
      <c r="C9" s="564" t="s">
        <v>387</v>
      </c>
      <c r="D9" s="565" t="s">
        <v>293</v>
      </c>
      <c r="E9" s="564" t="s">
        <v>388</v>
      </c>
      <c r="F9" s="564" t="s">
        <v>389</v>
      </c>
      <c r="G9" s="619" t="s">
        <v>390</v>
      </c>
    </row>
    <row r="10" spans="1:7" ht="23.25">
      <c r="A10" s="620"/>
      <c r="B10" s="556" t="s">
        <v>766</v>
      </c>
      <c r="C10" s="535"/>
      <c r="D10" s="548"/>
      <c r="E10" s="549"/>
      <c r="F10" s="535"/>
      <c r="G10" s="605">
        <f>G11</f>
        <v>0</v>
      </c>
    </row>
    <row r="11" spans="1:7" ht="23.25">
      <c r="A11" s="621" t="s">
        <v>391</v>
      </c>
      <c r="B11" s="566" t="s">
        <v>767</v>
      </c>
      <c r="C11" s="567"/>
      <c r="D11" s="568"/>
      <c r="E11" s="567"/>
      <c r="F11" s="567"/>
      <c r="G11" s="622">
        <f>SUM(F12:F19)</f>
        <v>0</v>
      </c>
    </row>
    <row r="12" spans="1:7" ht="23.25">
      <c r="A12" s="623">
        <f>A11+0.01</f>
        <v>1.01</v>
      </c>
      <c r="B12" s="557" t="s">
        <v>768</v>
      </c>
      <c r="C12" s="535">
        <v>1</v>
      </c>
      <c r="D12" s="543" t="s">
        <v>394</v>
      </c>
      <c r="E12" s="535"/>
      <c r="F12" s="559"/>
      <c r="G12" s="605"/>
    </row>
    <row r="13" spans="1:7" ht="23.25">
      <c r="A13" s="623">
        <f aca="true" t="shared" si="0" ref="A13:A19">A12+0.01</f>
        <v>1.02</v>
      </c>
      <c r="B13" s="557" t="s">
        <v>769</v>
      </c>
      <c r="C13" s="535">
        <v>1</v>
      </c>
      <c r="D13" s="543" t="s">
        <v>394</v>
      </c>
      <c r="E13" s="535"/>
      <c r="F13" s="559"/>
      <c r="G13" s="605"/>
    </row>
    <row r="14" spans="1:7" ht="23.25">
      <c r="A14" s="623">
        <f t="shared" si="0"/>
        <v>1.03</v>
      </c>
      <c r="B14" s="557" t="s">
        <v>770</v>
      </c>
      <c r="C14" s="535">
        <v>1</v>
      </c>
      <c r="D14" s="543" t="s">
        <v>295</v>
      </c>
      <c r="E14" s="535"/>
      <c r="F14" s="559"/>
      <c r="G14" s="605"/>
    </row>
    <row r="15" spans="1:7" ht="23.25">
      <c r="A15" s="623">
        <f t="shared" si="0"/>
        <v>1.04</v>
      </c>
      <c r="B15" s="557" t="s">
        <v>771</v>
      </c>
      <c r="C15" s="535">
        <v>1</v>
      </c>
      <c r="D15" s="543" t="s">
        <v>394</v>
      </c>
      <c r="E15" s="535"/>
      <c r="F15" s="559"/>
      <c r="G15" s="605"/>
    </row>
    <row r="16" spans="1:7" ht="23.25">
      <c r="A16" s="623">
        <f t="shared" si="0"/>
        <v>1.05</v>
      </c>
      <c r="B16" s="557" t="s">
        <v>780</v>
      </c>
      <c r="C16" s="535">
        <v>105</v>
      </c>
      <c r="D16" s="543" t="s">
        <v>12</v>
      </c>
      <c r="E16" s="535"/>
      <c r="F16" s="559"/>
      <c r="G16" s="605"/>
    </row>
    <row r="17" spans="1:7" ht="23.25">
      <c r="A17" s="623">
        <f t="shared" si="0"/>
        <v>1.06</v>
      </c>
      <c r="B17" s="557" t="s">
        <v>772</v>
      </c>
      <c r="C17" s="535">
        <v>105</v>
      </c>
      <c r="D17" s="543" t="s">
        <v>12</v>
      </c>
      <c r="E17" s="535"/>
      <c r="F17" s="559"/>
      <c r="G17" s="605"/>
    </row>
    <row r="18" spans="1:7" ht="23.25">
      <c r="A18" s="623">
        <f t="shared" si="0"/>
        <v>1.07</v>
      </c>
      <c r="B18" s="557" t="s">
        <v>779</v>
      </c>
      <c r="C18" s="535">
        <v>1</v>
      </c>
      <c r="D18" s="543" t="s">
        <v>295</v>
      </c>
      <c r="E18" s="535"/>
      <c r="F18" s="559"/>
      <c r="G18" s="605"/>
    </row>
    <row r="19" spans="1:7" ht="23.25">
      <c r="A19" s="623">
        <f t="shared" si="0"/>
        <v>1.08</v>
      </c>
      <c r="B19" s="557" t="s">
        <v>773</v>
      </c>
      <c r="C19" s="535">
        <v>1</v>
      </c>
      <c r="D19" s="543" t="s">
        <v>394</v>
      </c>
      <c r="E19" s="535"/>
      <c r="F19" s="559"/>
      <c r="G19" s="605"/>
    </row>
    <row r="20" spans="1:7" ht="23.25">
      <c r="A20" s="623"/>
      <c r="B20" s="557"/>
      <c r="C20" s="535"/>
      <c r="D20" s="543"/>
      <c r="E20" s="535"/>
      <c r="F20" s="559"/>
      <c r="G20" s="605"/>
    </row>
    <row r="21" spans="1:7" ht="23.25">
      <c r="A21" s="623"/>
      <c r="B21" s="556" t="s">
        <v>774</v>
      </c>
      <c r="C21" s="535"/>
      <c r="D21" s="548"/>
      <c r="E21" s="549"/>
      <c r="F21" s="559"/>
      <c r="G21" s="605">
        <f>G22</f>
        <v>0</v>
      </c>
    </row>
    <row r="22" spans="1:7" ht="23.25">
      <c r="A22" s="621" t="s">
        <v>398</v>
      </c>
      <c r="B22" s="566" t="s">
        <v>775</v>
      </c>
      <c r="C22" s="567"/>
      <c r="D22" s="568"/>
      <c r="E22" s="567"/>
      <c r="F22" s="569"/>
      <c r="G22" s="622">
        <f>SUM(F23:F26)</f>
        <v>0</v>
      </c>
    </row>
    <row r="23" spans="1:7" ht="27.75">
      <c r="A23" s="623">
        <f>A22+0.01</f>
        <v>2.01</v>
      </c>
      <c r="B23" s="555" t="s">
        <v>776</v>
      </c>
      <c r="C23" s="535">
        <v>20</v>
      </c>
      <c r="D23" s="543" t="s">
        <v>789</v>
      </c>
      <c r="E23" s="535"/>
      <c r="F23" s="559"/>
      <c r="G23" s="605"/>
    </row>
    <row r="24" spans="1:7" ht="27.75">
      <c r="A24" s="623">
        <f>A23+0.01</f>
        <v>2.0199999999999996</v>
      </c>
      <c r="B24" s="555" t="s">
        <v>783</v>
      </c>
      <c r="C24" s="535">
        <v>30</v>
      </c>
      <c r="D24" s="543" t="s">
        <v>789</v>
      </c>
      <c r="E24" s="535"/>
      <c r="F24" s="559"/>
      <c r="G24" s="605"/>
    </row>
    <row r="25" spans="1:7" ht="27.75">
      <c r="A25" s="623">
        <f>A24+0.01</f>
        <v>2.0299999999999994</v>
      </c>
      <c r="B25" s="555" t="s">
        <v>777</v>
      </c>
      <c r="C25" s="535">
        <v>70</v>
      </c>
      <c r="D25" s="543" t="s">
        <v>789</v>
      </c>
      <c r="E25" s="535"/>
      <c r="F25" s="559"/>
      <c r="G25" s="605"/>
    </row>
    <row r="26" spans="1:7" ht="23.25">
      <c r="A26" s="623">
        <f>A25+0.01</f>
        <v>2.039999999999999</v>
      </c>
      <c r="B26" s="555" t="s">
        <v>778</v>
      </c>
      <c r="C26" s="535">
        <v>1</v>
      </c>
      <c r="D26" s="548" t="s">
        <v>295</v>
      </c>
      <c r="E26" s="535"/>
      <c r="F26" s="559"/>
      <c r="G26" s="605"/>
    </row>
    <row r="27" spans="1:7" ht="23.25">
      <c r="A27" s="623"/>
      <c r="B27" s="555"/>
      <c r="C27" s="535"/>
      <c r="D27" s="548"/>
      <c r="E27" s="535"/>
      <c r="F27" s="559"/>
      <c r="G27" s="605"/>
    </row>
    <row r="28" spans="1:7" ht="23.25">
      <c r="A28" s="623"/>
      <c r="B28" s="556" t="s">
        <v>790</v>
      </c>
      <c r="C28" s="535"/>
      <c r="D28" s="548"/>
      <c r="E28" s="535"/>
      <c r="F28" s="559"/>
      <c r="G28" s="605">
        <f>G29</f>
        <v>0</v>
      </c>
    </row>
    <row r="29" spans="1:8" ht="23.25">
      <c r="A29" s="624" t="s">
        <v>406</v>
      </c>
      <c r="B29" s="573" t="s">
        <v>827</v>
      </c>
      <c r="C29" s="574"/>
      <c r="D29" s="575"/>
      <c r="E29" s="574"/>
      <c r="F29" s="576"/>
      <c r="G29" s="625">
        <f>SUM(F30:F38)</f>
        <v>0</v>
      </c>
      <c r="H29"/>
    </row>
    <row r="30" spans="1:7" ht="23.25">
      <c r="A30" s="623"/>
      <c r="B30" s="558" t="s">
        <v>781</v>
      </c>
      <c r="C30" s="535"/>
      <c r="D30" s="546"/>
      <c r="E30" s="535"/>
      <c r="F30" s="559"/>
      <c r="G30" s="605"/>
    </row>
    <row r="31" spans="1:7" ht="27.75">
      <c r="A31" s="623">
        <f>A29+0.01</f>
        <v>3.01</v>
      </c>
      <c r="B31" s="557" t="s">
        <v>782</v>
      </c>
      <c r="C31" s="535">
        <v>20</v>
      </c>
      <c r="D31" s="543" t="s">
        <v>789</v>
      </c>
      <c r="E31" s="535"/>
      <c r="F31" s="559"/>
      <c r="G31" s="605"/>
    </row>
    <row r="32" spans="1:7" ht="27.75">
      <c r="A32" s="623">
        <f>A31+0.01</f>
        <v>3.0199999999999996</v>
      </c>
      <c r="B32" s="557" t="s">
        <v>633</v>
      </c>
      <c r="C32" s="535">
        <f>C31*1.3</f>
        <v>26</v>
      </c>
      <c r="D32" s="543" t="s">
        <v>789</v>
      </c>
      <c r="E32" s="535"/>
      <c r="F32" s="559"/>
      <c r="G32" s="605"/>
    </row>
    <row r="33" spans="1:7" ht="27.75">
      <c r="A33" s="623">
        <f>A32+0.01</f>
        <v>3.0299999999999994</v>
      </c>
      <c r="B33" s="557" t="s">
        <v>803</v>
      </c>
      <c r="C33" s="535">
        <v>45</v>
      </c>
      <c r="D33" s="543" t="s">
        <v>789</v>
      </c>
      <c r="E33" s="535"/>
      <c r="F33" s="559"/>
      <c r="G33" s="605"/>
    </row>
    <row r="34" spans="1:7" ht="23.25">
      <c r="A34" s="623"/>
      <c r="B34" s="558" t="s">
        <v>788</v>
      </c>
      <c r="C34" s="535"/>
      <c r="D34" s="543"/>
      <c r="E34" s="535"/>
      <c r="F34" s="559"/>
      <c r="G34" s="605"/>
    </row>
    <row r="35" spans="1:7" ht="27.75">
      <c r="A35" s="623">
        <f>A33+0.01</f>
        <v>3.039999999999999</v>
      </c>
      <c r="B35" s="557" t="s">
        <v>829</v>
      </c>
      <c r="C35" s="535">
        <f>36*0.5*0.5*0.3</f>
        <v>2.6999999999999997</v>
      </c>
      <c r="D35" s="543" t="s">
        <v>789</v>
      </c>
      <c r="E35" s="535"/>
      <c r="F35" s="559"/>
      <c r="G35" s="605"/>
    </row>
    <row r="36" spans="1:7" ht="27.75">
      <c r="A36" s="623">
        <f>A35+0.01</f>
        <v>3.049999999999999</v>
      </c>
      <c r="B36" s="557" t="s">
        <v>828</v>
      </c>
      <c r="C36" s="535">
        <f>2*1*0.5*0.3</f>
        <v>0.3</v>
      </c>
      <c r="D36" s="543" t="s">
        <v>789</v>
      </c>
      <c r="E36" s="535"/>
      <c r="F36" s="559"/>
      <c r="G36" s="605"/>
    </row>
    <row r="37" spans="1:7" ht="27.75">
      <c r="A37" s="623">
        <f>A36+0.01</f>
        <v>3.0599999999999987</v>
      </c>
      <c r="B37" s="557" t="s">
        <v>784</v>
      </c>
      <c r="C37" s="535">
        <f>165.45*0.4*0.3</f>
        <v>19.853999999999996</v>
      </c>
      <c r="D37" s="543" t="s">
        <v>789</v>
      </c>
      <c r="E37" s="535"/>
      <c r="F37" s="559"/>
      <c r="G37" s="605"/>
    </row>
    <row r="38" spans="1:7" ht="23.25">
      <c r="A38" s="623">
        <v>3.08</v>
      </c>
      <c r="B38" s="557" t="s">
        <v>787</v>
      </c>
      <c r="C38" s="535">
        <v>20</v>
      </c>
      <c r="D38" s="547" t="s">
        <v>376</v>
      </c>
      <c r="E38" s="535"/>
      <c r="F38" s="559"/>
      <c r="G38" s="605"/>
    </row>
    <row r="39" spans="1:7" ht="23.25">
      <c r="A39" s="623"/>
      <c r="B39" s="557"/>
      <c r="C39" s="535"/>
      <c r="D39" s="543"/>
      <c r="E39" s="535"/>
      <c r="F39" s="559"/>
      <c r="G39" s="605"/>
    </row>
    <row r="40" spans="1:7" ht="23.25">
      <c r="A40" s="623"/>
      <c r="B40" s="557"/>
      <c r="C40" s="535"/>
      <c r="D40" s="543"/>
      <c r="E40" s="535"/>
      <c r="F40" s="559"/>
      <c r="G40" s="626"/>
    </row>
    <row r="41" spans="1:7" ht="23.25">
      <c r="A41" s="627">
        <v>5</v>
      </c>
      <c r="B41" s="577" t="s">
        <v>786</v>
      </c>
      <c r="C41" s="578"/>
      <c r="D41" s="579"/>
      <c r="E41" s="578"/>
      <c r="F41" s="580"/>
      <c r="G41" s="642">
        <f>SUM(F41:F43)</f>
        <v>0</v>
      </c>
    </row>
    <row r="42" spans="1:7" ht="23.25">
      <c r="A42" s="623">
        <f>A41+0.01</f>
        <v>5.01</v>
      </c>
      <c r="B42" s="557" t="s">
        <v>791</v>
      </c>
      <c r="C42" s="535">
        <v>35</v>
      </c>
      <c r="D42" s="543" t="s">
        <v>376</v>
      </c>
      <c r="E42" s="535"/>
      <c r="F42" s="559"/>
      <c r="G42" s="605"/>
    </row>
    <row r="43" spans="1:7" ht="23.25">
      <c r="A43" s="623">
        <f>A42+0.01</f>
        <v>5.02</v>
      </c>
      <c r="B43" s="557" t="s">
        <v>792</v>
      </c>
      <c r="C43" s="535">
        <v>20</v>
      </c>
      <c r="D43" s="543" t="s">
        <v>376</v>
      </c>
      <c r="E43" s="535"/>
      <c r="F43" s="559"/>
      <c r="G43" s="605"/>
    </row>
    <row r="44" spans="1:7" ht="23.25">
      <c r="A44" s="623"/>
      <c r="B44" s="557"/>
      <c r="C44" s="535"/>
      <c r="D44" s="543"/>
      <c r="E44" s="535"/>
      <c r="F44" s="559"/>
      <c r="G44" s="605"/>
    </row>
    <row r="45" spans="1:7" ht="23.25">
      <c r="A45" s="627">
        <v>6</v>
      </c>
      <c r="B45" s="577" t="s">
        <v>793</v>
      </c>
      <c r="C45" s="578"/>
      <c r="D45" s="579"/>
      <c r="E45" s="578"/>
      <c r="F45" s="580"/>
      <c r="G45" s="641">
        <f>SUM(F46:F55)</f>
        <v>0</v>
      </c>
    </row>
    <row r="46" spans="1:7" ht="23.25">
      <c r="A46" s="623">
        <f>A45+0.01</f>
        <v>6.01</v>
      </c>
      <c r="B46" s="557" t="s">
        <v>795</v>
      </c>
      <c r="C46" s="535">
        <v>60</v>
      </c>
      <c r="D46" s="543" t="s">
        <v>376</v>
      </c>
      <c r="E46" s="535"/>
      <c r="F46" s="559"/>
      <c r="G46" s="628"/>
    </row>
    <row r="47" spans="1:7" ht="23.25">
      <c r="A47" s="623">
        <f>A46+0.01</f>
        <v>6.02</v>
      </c>
      <c r="B47" s="557" t="s">
        <v>794</v>
      </c>
      <c r="C47" s="535">
        <v>80</v>
      </c>
      <c r="D47" s="543" t="s">
        <v>376</v>
      </c>
      <c r="E47" s="535"/>
      <c r="F47" s="559"/>
      <c r="G47" s="605"/>
    </row>
    <row r="48" spans="1:7" ht="23.25">
      <c r="A48" s="623">
        <v>6.03</v>
      </c>
      <c r="B48" s="557" t="s">
        <v>796</v>
      </c>
      <c r="C48" s="535">
        <v>110</v>
      </c>
      <c r="D48" s="543" t="s">
        <v>12</v>
      </c>
      <c r="E48" s="535"/>
      <c r="F48" s="559"/>
      <c r="G48" s="605"/>
    </row>
    <row r="49" spans="1:7" ht="23.25">
      <c r="A49" s="629">
        <v>6.04</v>
      </c>
      <c r="B49" s="592" t="s">
        <v>797</v>
      </c>
      <c r="C49" s="593">
        <v>50</v>
      </c>
      <c r="D49" s="594" t="s">
        <v>8</v>
      </c>
      <c r="E49" s="593"/>
      <c r="F49" s="595"/>
      <c r="G49" s="605"/>
    </row>
    <row r="50" spans="1:7" ht="23.25">
      <c r="A50" s="623">
        <f>A49+0.01</f>
        <v>6.05</v>
      </c>
      <c r="B50" s="557" t="s">
        <v>798</v>
      </c>
      <c r="C50" s="535">
        <v>50</v>
      </c>
      <c r="D50" s="543" t="s">
        <v>376</v>
      </c>
      <c r="E50" s="535"/>
      <c r="F50" s="559"/>
      <c r="G50" s="605"/>
    </row>
    <row r="51" spans="1:7" ht="23.25">
      <c r="A51" s="623">
        <f>A50+0.01</f>
        <v>6.06</v>
      </c>
      <c r="B51" s="557" t="s">
        <v>799</v>
      </c>
      <c r="C51" s="535">
        <v>50</v>
      </c>
      <c r="D51" s="543" t="s">
        <v>376</v>
      </c>
      <c r="E51" s="535"/>
      <c r="F51" s="560"/>
      <c r="G51" s="605"/>
    </row>
    <row r="52" spans="1:7" ht="23.25">
      <c r="A52" s="623">
        <f>A51+0.01</f>
        <v>6.069999999999999</v>
      </c>
      <c r="B52" s="557" t="s">
        <v>407</v>
      </c>
      <c r="C52" s="535">
        <v>60</v>
      </c>
      <c r="D52" s="543" t="s">
        <v>12</v>
      </c>
      <c r="E52" s="535"/>
      <c r="F52" s="560"/>
      <c r="G52" s="605"/>
    </row>
    <row r="53" spans="1:7" ht="23.25">
      <c r="A53" s="630">
        <v>6.08</v>
      </c>
      <c r="B53" s="596" t="s">
        <v>832</v>
      </c>
      <c r="C53" s="597">
        <v>65</v>
      </c>
      <c r="D53" s="598" t="s">
        <v>376</v>
      </c>
      <c r="E53" s="597"/>
      <c r="F53" s="599"/>
      <c r="G53" s="631"/>
    </row>
    <row r="54" spans="1:7" ht="23.25">
      <c r="A54" s="632">
        <v>6.09</v>
      </c>
      <c r="B54" s="600" t="s">
        <v>802</v>
      </c>
      <c r="C54" s="597">
        <v>55</v>
      </c>
      <c r="D54" s="598" t="s">
        <v>376</v>
      </c>
      <c r="E54" s="597"/>
      <c r="F54" s="599"/>
      <c r="G54" s="631"/>
    </row>
    <row r="55" spans="1:7" ht="23.25">
      <c r="A55" s="623"/>
      <c r="G55" s="631"/>
    </row>
    <row r="56" spans="1:7" ht="23.25">
      <c r="A56" s="627">
        <v>14</v>
      </c>
      <c r="B56" s="577" t="s">
        <v>830</v>
      </c>
      <c r="C56" s="578"/>
      <c r="D56" s="579"/>
      <c r="E56" s="578"/>
      <c r="F56" s="580"/>
      <c r="G56" s="638">
        <f>F57</f>
        <v>0</v>
      </c>
    </row>
    <row r="57" spans="1:7" ht="23.25">
      <c r="A57" s="623">
        <f>A56+0.01</f>
        <v>14.01</v>
      </c>
      <c r="B57" s="554" t="s">
        <v>831</v>
      </c>
      <c r="C57" s="535">
        <v>1</v>
      </c>
      <c r="D57" s="548" t="s">
        <v>295</v>
      </c>
      <c r="E57" s="535"/>
      <c r="F57" s="560"/>
      <c r="G57" s="605"/>
    </row>
    <row r="58" spans="1:6" ht="23.25">
      <c r="A58" s="623"/>
      <c r="B58" s="554"/>
      <c r="C58" s="535"/>
      <c r="D58" s="548"/>
      <c r="E58" s="535"/>
      <c r="F58" s="559"/>
    </row>
    <row r="59" spans="1:7" ht="23.25">
      <c r="A59" s="624">
        <v>15</v>
      </c>
      <c r="B59" s="588" t="s">
        <v>800</v>
      </c>
      <c r="C59" s="574"/>
      <c r="D59" s="575"/>
      <c r="E59" s="574"/>
      <c r="F59" s="576"/>
      <c r="G59" s="644">
        <f>F60</f>
        <v>0</v>
      </c>
    </row>
    <row r="60" spans="1:6" ht="23.25">
      <c r="A60" s="623">
        <f>A59+0.01</f>
        <v>15.01</v>
      </c>
      <c r="B60" s="554" t="s">
        <v>801</v>
      </c>
      <c r="C60" s="535">
        <v>1</v>
      </c>
      <c r="D60" s="548" t="s">
        <v>295</v>
      </c>
      <c r="E60" s="535"/>
      <c r="F60" s="560"/>
    </row>
    <row r="61" spans="1:6" ht="23.25">
      <c r="A61" s="623"/>
      <c r="B61" s="554"/>
      <c r="C61" s="535"/>
      <c r="D61" s="548"/>
      <c r="E61" s="535"/>
      <c r="F61" s="559"/>
    </row>
    <row r="62" spans="1:7" ht="23.25">
      <c r="A62" s="627">
        <v>16</v>
      </c>
      <c r="B62" s="577" t="s">
        <v>420</v>
      </c>
      <c r="C62" s="578"/>
      <c r="D62" s="579"/>
      <c r="E62" s="578"/>
      <c r="F62" s="580"/>
      <c r="G62" s="642">
        <f>SUM(F63:F64)</f>
        <v>0</v>
      </c>
    </row>
    <row r="63" spans="1:7" ht="23.25">
      <c r="A63" s="623">
        <f>A62+0.01</f>
        <v>16.01</v>
      </c>
      <c r="B63" s="557" t="s">
        <v>820</v>
      </c>
      <c r="C63" s="535">
        <f>80</f>
        <v>80</v>
      </c>
      <c r="D63" s="543" t="s">
        <v>376</v>
      </c>
      <c r="E63" s="535"/>
      <c r="F63" s="560"/>
      <c r="G63" s="605"/>
    </row>
    <row r="64" spans="1:6" ht="23.25">
      <c r="A64" s="623">
        <f>A63+0.01</f>
        <v>16.020000000000003</v>
      </c>
      <c r="B64" s="557" t="s">
        <v>821</v>
      </c>
      <c r="C64" s="535">
        <f>C47+C54</f>
        <v>135</v>
      </c>
      <c r="D64" s="543" t="s">
        <v>376</v>
      </c>
      <c r="E64" s="535"/>
      <c r="F64" s="560"/>
    </row>
    <row r="65" spans="1:7" ht="23.25">
      <c r="A65" s="623"/>
      <c r="B65" s="554"/>
      <c r="C65" s="535"/>
      <c r="D65" s="548"/>
      <c r="E65" s="535"/>
      <c r="F65" s="559"/>
      <c r="G65" s="605"/>
    </row>
    <row r="66" spans="1:7" ht="23.25">
      <c r="A66" s="633">
        <v>17</v>
      </c>
      <c r="B66" s="589" t="s">
        <v>804</v>
      </c>
      <c r="C66" s="570"/>
      <c r="D66" s="571"/>
      <c r="E66" s="570"/>
      <c r="F66" s="572"/>
      <c r="G66" s="643">
        <f>SUM(F67:F83)</f>
        <v>0</v>
      </c>
    </row>
    <row r="67" spans="1:7" ht="23.25">
      <c r="A67" s="623"/>
      <c r="B67" s="558" t="s">
        <v>785</v>
      </c>
      <c r="C67" s="535"/>
      <c r="D67" s="548"/>
      <c r="E67" s="535"/>
      <c r="F67" s="559"/>
      <c r="G67" s="605"/>
    </row>
    <row r="68" spans="1:6" ht="27.75">
      <c r="A68" s="623">
        <f>A66+0.01</f>
        <v>17.01</v>
      </c>
      <c r="B68" s="554" t="s">
        <v>810</v>
      </c>
      <c r="C68" s="535">
        <f>29.2*0.4*0.3</f>
        <v>3.504</v>
      </c>
      <c r="D68" s="543" t="s">
        <v>789</v>
      </c>
      <c r="E68" s="535"/>
      <c r="F68" s="560"/>
    </row>
    <row r="69" spans="1:7" ht="23.25">
      <c r="A69" s="623">
        <f aca="true" t="shared" si="1" ref="A69:A74">A68+0.01</f>
        <v>17.020000000000003</v>
      </c>
      <c r="B69" s="554" t="s">
        <v>813</v>
      </c>
      <c r="C69" s="535">
        <f>29.2*1</f>
        <v>29.2</v>
      </c>
      <c r="D69" s="543" t="s">
        <v>376</v>
      </c>
      <c r="E69" s="535"/>
      <c r="F69" s="560"/>
      <c r="G69" s="605"/>
    </row>
    <row r="70" spans="1:7" ht="23.25">
      <c r="A70" s="623">
        <f t="shared" si="1"/>
        <v>17.030000000000005</v>
      </c>
      <c r="B70" s="554" t="s">
        <v>795</v>
      </c>
      <c r="C70" s="535">
        <f>C71</f>
        <v>58.4</v>
      </c>
      <c r="D70" s="543" t="s">
        <v>376</v>
      </c>
      <c r="E70" s="535"/>
      <c r="F70" s="560"/>
      <c r="G70" s="605"/>
    </row>
    <row r="71" spans="1:7" ht="23.25">
      <c r="A71" s="623">
        <f t="shared" si="1"/>
        <v>17.040000000000006</v>
      </c>
      <c r="B71" s="554" t="s">
        <v>811</v>
      </c>
      <c r="C71" s="535">
        <f>C69*2</f>
        <v>58.4</v>
      </c>
      <c r="D71" s="543" t="s">
        <v>376</v>
      </c>
      <c r="E71" s="535"/>
      <c r="F71" s="560"/>
      <c r="G71" s="634"/>
    </row>
    <row r="72" spans="1:7" ht="23.25">
      <c r="A72" s="623">
        <f t="shared" si="1"/>
        <v>17.050000000000008</v>
      </c>
      <c r="B72" s="554" t="s">
        <v>11</v>
      </c>
      <c r="C72" s="535">
        <f>1*11</f>
        <v>11</v>
      </c>
      <c r="D72" s="548" t="s">
        <v>12</v>
      </c>
      <c r="E72" s="535"/>
      <c r="F72" s="560"/>
      <c r="G72" s="605"/>
    </row>
    <row r="73" spans="1:7" ht="23.25">
      <c r="A73" s="623">
        <f t="shared" si="1"/>
        <v>17.06000000000001</v>
      </c>
      <c r="B73" s="554" t="s">
        <v>764</v>
      </c>
      <c r="C73" s="535">
        <f>29.2</f>
        <v>29.2</v>
      </c>
      <c r="D73" s="548" t="s">
        <v>12</v>
      </c>
      <c r="E73" s="535"/>
      <c r="F73" s="560"/>
      <c r="G73" s="605"/>
    </row>
    <row r="74" spans="1:7" ht="23.25">
      <c r="A74" s="623">
        <f t="shared" si="1"/>
        <v>17.07000000000001</v>
      </c>
      <c r="B74" s="554" t="s">
        <v>812</v>
      </c>
      <c r="C74" s="535">
        <f>C71</f>
        <v>58.4</v>
      </c>
      <c r="D74" s="543" t="s">
        <v>376</v>
      </c>
      <c r="E74" s="535"/>
      <c r="F74" s="560"/>
      <c r="G74" s="605"/>
    </row>
    <row r="75" spans="1:7" ht="23.25">
      <c r="A75" s="623"/>
      <c r="B75" s="558" t="s">
        <v>808</v>
      </c>
      <c r="C75" s="535"/>
      <c r="D75" s="548"/>
      <c r="E75" s="535"/>
      <c r="F75" s="559"/>
      <c r="G75" s="626"/>
    </row>
    <row r="76" spans="1:7" ht="27.75">
      <c r="A76" s="623">
        <f>A74+0.01</f>
        <v>17.080000000000013</v>
      </c>
      <c r="B76" s="554" t="s">
        <v>805</v>
      </c>
      <c r="C76" s="535">
        <f>C77*0.3</f>
        <v>11.806200000000002</v>
      </c>
      <c r="D76" s="543" t="s">
        <v>789</v>
      </c>
      <c r="E76" s="535"/>
      <c r="F76" s="560"/>
      <c r="G76" s="605"/>
    </row>
    <row r="77" spans="1:7" ht="27.75">
      <c r="A77" s="623">
        <f>A76+0.01</f>
        <v>17.090000000000014</v>
      </c>
      <c r="B77" s="554" t="s">
        <v>806</v>
      </c>
      <c r="C77" s="535">
        <f>393.54*0.1</f>
        <v>39.354000000000006</v>
      </c>
      <c r="D77" s="543" t="s">
        <v>789</v>
      </c>
      <c r="E77" s="535"/>
      <c r="F77" s="560"/>
      <c r="G77" s="605"/>
    </row>
    <row r="78" spans="1:7" ht="23.25">
      <c r="A78" s="623">
        <f>A77+0.01</f>
        <v>17.100000000000016</v>
      </c>
      <c r="B78" s="554" t="s">
        <v>807</v>
      </c>
      <c r="C78" s="535">
        <f>59.61</f>
        <v>59.61</v>
      </c>
      <c r="D78" s="548" t="s">
        <v>12</v>
      </c>
      <c r="E78" s="535"/>
      <c r="F78" s="560"/>
      <c r="G78" s="605"/>
    </row>
    <row r="79" spans="1:7" ht="23.25">
      <c r="A79" s="623"/>
      <c r="B79" s="558" t="s">
        <v>809</v>
      </c>
      <c r="C79" s="535"/>
      <c r="D79" s="548"/>
      <c r="E79" s="535"/>
      <c r="F79" s="559"/>
      <c r="G79" s="605"/>
    </row>
    <row r="80" spans="1:7" ht="23.25">
      <c r="A80" s="623">
        <f>A78+0.01</f>
        <v>17.110000000000017</v>
      </c>
      <c r="B80" s="554" t="s">
        <v>814</v>
      </c>
      <c r="C80" s="535">
        <v>80</v>
      </c>
      <c r="D80" s="543" t="s">
        <v>376</v>
      </c>
      <c r="E80" s="535"/>
      <c r="F80" s="560"/>
      <c r="G80" s="605"/>
    </row>
    <row r="81" spans="1:7" ht="23.25">
      <c r="A81" s="623">
        <f>A80+0.01</f>
        <v>17.12000000000002</v>
      </c>
      <c r="B81" s="554" t="s">
        <v>815</v>
      </c>
      <c r="C81" s="535">
        <v>15</v>
      </c>
      <c r="D81" s="548" t="s">
        <v>394</v>
      </c>
      <c r="E81" s="535"/>
      <c r="F81" s="560"/>
      <c r="G81" s="605"/>
    </row>
    <row r="82" spans="1:7" ht="23.25">
      <c r="A82" s="623">
        <f>A81+0.01</f>
        <v>17.13000000000002</v>
      </c>
      <c r="B82" s="554" t="s">
        <v>819</v>
      </c>
      <c r="C82" s="535">
        <v>6</v>
      </c>
      <c r="D82" s="543" t="s">
        <v>376</v>
      </c>
      <c r="E82" s="535"/>
      <c r="F82" s="560"/>
      <c r="G82" s="605"/>
    </row>
    <row r="83" spans="1:7" ht="23.25">
      <c r="A83" s="623">
        <f>A82+0.01</f>
        <v>17.140000000000022</v>
      </c>
      <c r="B83" s="554" t="s">
        <v>823</v>
      </c>
      <c r="C83" s="535">
        <v>1</v>
      </c>
      <c r="D83" s="543" t="s">
        <v>394</v>
      </c>
      <c r="E83" s="535"/>
      <c r="F83" s="560"/>
      <c r="G83" s="605"/>
    </row>
    <row r="84" spans="1:7" ht="23.25">
      <c r="A84" s="623"/>
      <c r="B84" s="554"/>
      <c r="C84" s="535"/>
      <c r="D84" s="548"/>
      <c r="E84" s="535"/>
      <c r="F84" s="559"/>
      <c r="G84" s="605"/>
    </row>
    <row r="85" spans="1:7" ht="23.25">
      <c r="A85" s="635">
        <v>18</v>
      </c>
      <c r="B85" s="584" t="s">
        <v>304</v>
      </c>
      <c r="C85" s="585"/>
      <c r="D85" s="586"/>
      <c r="E85" s="585"/>
      <c r="F85" s="587"/>
      <c r="G85" s="644">
        <f>SUM(F86:F88)</f>
        <v>0</v>
      </c>
    </row>
    <row r="86" spans="1:7" ht="27.75">
      <c r="A86" s="623">
        <f>A85+0.01</f>
        <v>18.01</v>
      </c>
      <c r="B86" s="554" t="s">
        <v>816</v>
      </c>
      <c r="C86" s="535">
        <v>30</v>
      </c>
      <c r="D86" s="548" t="s">
        <v>394</v>
      </c>
      <c r="E86" s="535"/>
      <c r="F86" s="560"/>
      <c r="G86" s="605"/>
    </row>
    <row r="87" spans="1:6" ht="23.25">
      <c r="A87" s="623">
        <f>A86+0.01</f>
        <v>18.020000000000003</v>
      </c>
      <c r="B87" s="554" t="s">
        <v>817</v>
      </c>
      <c r="C87" s="535">
        <v>30</v>
      </c>
      <c r="D87" s="548" t="s">
        <v>818</v>
      </c>
      <c r="E87" s="535"/>
      <c r="F87" s="560"/>
    </row>
    <row r="88" spans="1:7" ht="23.25">
      <c r="A88" s="623">
        <f>A87+0.01</f>
        <v>18.030000000000005</v>
      </c>
      <c r="B88" s="554" t="s">
        <v>835</v>
      </c>
      <c r="C88" s="535">
        <v>1</v>
      </c>
      <c r="D88" s="548" t="s">
        <v>295</v>
      </c>
      <c r="E88" s="535"/>
      <c r="F88" s="560"/>
      <c r="G88" s="605"/>
    </row>
    <row r="89" spans="1:7" ht="23.25">
      <c r="A89" s="636"/>
      <c r="B89" s="556"/>
      <c r="C89" s="535"/>
      <c r="D89" s="548"/>
      <c r="E89" s="549"/>
      <c r="F89" s="561"/>
      <c r="G89" s="605"/>
    </row>
    <row r="90" spans="1:7" ht="24" thickBot="1">
      <c r="A90" s="637"/>
      <c r="B90" s="581" t="s">
        <v>470</v>
      </c>
      <c r="C90" s="582"/>
      <c r="D90" s="583"/>
      <c r="E90" s="582"/>
      <c r="F90" s="582"/>
      <c r="G90" s="638">
        <f>SUM(G85+G66+G62+G59+G56+G45+G41+G29+G22+G11)</f>
        <v>0</v>
      </c>
    </row>
    <row r="91" spans="1:7" ht="23.25">
      <c r="A91" s="639"/>
      <c r="B91" s="538"/>
      <c r="C91" s="536"/>
      <c r="D91" s="537"/>
      <c r="E91" s="533"/>
      <c r="F91" s="535"/>
      <c r="G91" s="605"/>
    </row>
    <row r="92" spans="1:7" ht="24" thickBot="1">
      <c r="A92" s="639"/>
      <c r="B92" s="601" t="s">
        <v>471</v>
      </c>
      <c r="C92" s="602"/>
      <c r="D92" s="602"/>
      <c r="E92" s="602"/>
      <c r="F92" s="603"/>
      <c r="G92" s="617">
        <f>SUM(F93:F99)</f>
        <v>0</v>
      </c>
    </row>
    <row r="93" spans="1:7" ht="23.25">
      <c r="A93" s="639"/>
      <c r="B93" s="604" t="s">
        <v>472</v>
      </c>
      <c r="C93" s="553">
        <v>0.1</v>
      </c>
      <c r="D93" s="550"/>
      <c r="E93" s="550"/>
      <c r="F93" s="559"/>
      <c r="G93" s="605"/>
    </row>
    <row r="94" spans="1:6" ht="46.5">
      <c r="A94" s="639"/>
      <c r="B94" s="604" t="s">
        <v>822</v>
      </c>
      <c r="C94" s="553">
        <v>0.018</v>
      </c>
      <c r="D94" s="550"/>
      <c r="E94" s="550"/>
      <c r="F94" s="559"/>
    </row>
    <row r="95" spans="1:7" ht="23.25">
      <c r="A95" s="639"/>
      <c r="B95" s="604" t="s">
        <v>473</v>
      </c>
      <c r="C95" s="553">
        <v>0.026</v>
      </c>
      <c r="D95" s="550"/>
      <c r="E95" s="550"/>
      <c r="F95" s="559"/>
      <c r="G95" s="605"/>
    </row>
    <row r="96" spans="1:7" ht="23.25">
      <c r="A96" s="639"/>
      <c r="B96" s="604" t="s">
        <v>826</v>
      </c>
      <c r="C96" s="553">
        <v>0.01</v>
      </c>
      <c r="D96" s="550"/>
      <c r="E96" s="550"/>
      <c r="F96" s="559"/>
      <c r="G96" s="605"/>
    </row>
    <row r="97" spans="1:7" ht="23.25">
      <c r="A97" s="639"/>
      <c r="B97" s="604" t="s">
        <v>474</v>
      </c>
      <c r="C97" s="553">
        <v>0.015</v>
      </c>
      <c r="D97" s="550"/>
      <c r="E97" s="550"/>
      <c r="F97" s="559"/>
      <c r="G97" s="605"/>
    </row>
    <row r="98" spans="1:7" ht="23.25">
      <c r="A98" s="639"/>
      <c r="B98" s="604"/>
      <c r="C98" s="553"/>
      <c r="D98" s="550"/>
      <c r="E98" s="550"/>
      <c r="F98" s="559"/>
      <c r="G98" s="606"/>
    </row>
    <row r="99" spans="1:7" ht="23.25">
      <c r="A99" s="639"/>
      <c r="B99" s="608" t="s">
        <v>475</v>
      </c>
      <c r="C99" s="609">
        <v>0.05</v>
      </c>
      <c r="D99" s="610"/>
      <c r="E99" s="610"/>
      <c r="F99" s="611"/>
      <c r="G99" s="612"/>
    </row>
    <row r="100" spans="1:7" ht="24" thickBot="1">
      <c r="A100" s="640"/>
      <c r="B100" s="613" t="s">
        <v>763</v>
      </c>
      <c r="C100" s="614"/>
      <c r="D100" s="615"/>
      <c r="E100" s="614"/>
      <c r="F100" s="615"/>
      <c r="G100" s="607"/>
    </row>
    <row r="101" ht="23.25">
      <c r="G101" s="616">
        <f>G90+G92</f>
        <v>0</v>
      </c>
    </row>
    <row r="104" spans="2:6" ht="23.25">
      <c r="B104" s="645" t="s">
        <v>836</v>
      </c>
      <c r="F104" s="590" t="s">
        <v>838</v>
      </c>
    </row>
    <row r="105" spans="2:6" ht="23.25">
      <c r="B105" s="544" t="s">
        <v>837</v>
      </c>
      <c r="F105" s="552" t="s">
        <v>839</v>
      </c>
    </row>
    <row r="109" spans="1:6" ht="23.25">
      <c r="A109" s="539"/>
      <c r="B109" s="538"/>
      <c r="C109" s="536"/>
      <c r="D109" s="537"/>
      <c r="E109" s="533"/>
      <c r="F109" s="535"/>
    </row>
    <row r="110" spans="1:6" ht="23.25">
      <c r="A110" s="539"/>
      <c r="B110" s="538"/>
      <c r="C110" s="536"/>
      <c r="D110" s="537"/>
      <c r="E110" s="533"/>
      <c r="F110" s="535"/>
    </row>
    <row r="111" spans="1:7" ht="23.25">
      <c r="A111" s="539"/>
      <c r="B111" s="540"/>
      <c r="C111" s="536"/>
      <c r="D111" s="537"/>
      <c r="E111" s="674"/>
      <c r="F111" s="674"/>
      <c r="G111" s="562"/>
    </row>
    <row r="112" spans="1:7" ht="23.25">
      <c r="A112" s="539"/>
      <c r="B112" s="542"/>
      <c r="C112" s="536"/>
      <c r="D112" s="537"/>
      <c r="E112" s="533"/>
      <c r="F112" s="535"/>
      <c r="G112" s="562"/>
    </row>
    <row r="113" spans="2:7" ht="23.25">
      <c r="B113" s="534"/>
      <c r="F113" s="590"/>
      <c r="G113" s="562"/>
    </row>
    <row r="114" spans="2:7" ht="23.25">
      <c r="B114" s="545"/>
      <c r="F114" s="591"/>
      <c r="G114" s="562"/>
    </row>
    <row r="115" ht="23.25">
      <c r="G115" s="562"/>
    </row>
    <row r="116" ht="23.25">
      <c r="G116" s="562"/>
    </row>
    <row r="118" ht="23.25">
      <c r="G118" s="533"/>
    </row>
    <row r="119" spans="2:7" ht="23.25">
      <c r="B119" s="538"/>
      <c r="D119" s="590"/>
      <c r="E119" s="552"/>
      <c r="G119" s="533"/>
    </row>
    <row r="120" spans="2:7" ht="23.25">
      <c r="B120" s="542"/>
      <c r="G120" s="541"/>
    </row>
    <row r="121" spans="2:6" ht="23.25">
      <c r="B121" s="534"/>
      <c r="D121" s="590"/>
      <c r="E121" s="552"/>
      <c r="F121" s="590"/>
    </row>
    <row r="122" spans="2:6" ht="23.25">
      <c r="B122" s="545"/>
      <c r="F122" s="591"/>
    </row>
    <row r="123" ht="23.25">
      <c r="F123" s="591"/>
    </row>
    <row r="163" ht="23.25">
      <c r="K163" s="551"/>
    </row>
    <row r="169" ht="23.25">
      <c r="I169" s="533"/>
    </row>
  </sheetData>
  <sheetProtection/>
  <mergeCells count="11">
    <mergeCell ref="A4:B4"/>
    <mergeCell ref="A5:B5"/>
    <mergeCell ref="E111:F111"/>
    <mergeCell ref="A6:B6"/>
    <mergeCell ref="F5:G5"/>
    <mergeCell ref="A8:G8"/>
    <mergeCell ref="A1:G1"/>
    <mergeCell ref="A2:G2"/>
    <mergeCell ref="A3:B3"/>
    <mergeCell ref="C3:D4"/>
    <mergeCell ref="E3:G4"/>
  </mergeCells>
  <printOptions/>
  <pageMargins left="0.7" right="0.7" top="0.75" bottom="0.75" header="0.3" footer="0.3"/>
  <pageSetup horizontalDpi="300" verticalDpi="300" orientation="portrait" scale="45" r:id="rId2"/>
  <headerFooter>
    <oddFooter>&amp;LPresupuesto&amp;R&amp;P de &amp;N</oddFooter>
  </headerFooter>
  <drawing r:id="rId1"/>
</worksheet>
</file>

<file path=xl/worksheets/sheet4.xml><?xml version="1.0" encoding="utf-8"?>
<worksheet xmlns="http://schemas.openxmlformats.org/spreadsheetml/2006/main" xmlns:r="http://schemas.openxmlformats.org/officeDocument/2006/relationships">
  <dimension ref="A1:K302"/>
  <sheetViews>
    <sheetView showGridLines="0" zoomScalePageLayoutView="0" workbookViewId="0" topLeftCell="A245">
      <selection activeCell="D285" sqref="D285"/>
    </sheetView>
  </sheetViews>
  <sheetFormatPr defaultColWidth="11.421875" defaultRowHeight="12.75"/>
  <cols>
    <col min="1" max="1" width="6.421875" style="332" customWidth="1"/>
    <col min="2" max="2" width="35.7109375" style="361" customWidth="1"/>
    <col min="3" max="3" width="6.00390625" style="453" customWidth="1"/>
    <col min="4" max="4" width="11.00390625" style="454" bestFit="1" customWidth="1"/>
    <col min="5" max="5" width="6.7109375" style="332" customWidth="1"/>
    <col min="6" max="6" width="5.7109375" style="332" customWidth="1"/>
    <col min="7" max="7" width="12.421875" style="455" bestFit="1" customWidth="1"/>
    <col min="8" max="8" width="12.8515625" style="455" bestFit="1" customWidth="1"/>
    <col min="9" max="9" width="12.7109375" style="332" hidden="1" customWidth="1"/>
    <col min="10" max="10" width="17.421875" style="333" customWidth="1"/>
    <col min="11" max="16384" width="11.421875" style="332" customWidth="1"/>
  </cols>
  <sheetData>
    <row r="1" spans="1:8" ht="15">
      <c r="A1" s="504"/>
      <c r="B1" s="505"/>
      <c r="C1" s="506"/>
      <c r="D1" s="507"/>
      <c r="E1" s="505"/>
      <c r="F1" s="666"/>
      <c r="G1" s="666"/>
      <c r="H1" s="508"/>
    </row>
    <row r="2" spans="1:8" ht="33.75">
      <c r="A2" s="509"/>
      <c r="B2" s="652" t="s">
        <v>476</v>
      </c>
      <c r="C2" s="652"/>
      <c r="D2" s="652"/>
      <c r="E2" s="652"/>
      <c r="F2" s="652"/>
      <c r="G2" s="652"/>
      <c r="H2" s="667"/>
    </row>
    <row r="3" spans="1:8" ht="16.5" customHeight="1">
      <c r="A3" s="510"/>
      <c r="B3" s="111" t="s">
        <v>378</v>
      </c>
      <c r="C3" s="670" t="s">
        <v>379</v>
      </c>
      <c r="D3" s="670"/>
      <c r="E3" s="663"/>
      <c r="F3" s="664"/>
      <c r="G3" s="664"/>
      <c r="H3" s="665"/>
    </row>
    <row r="4" spans="1:8" ht="31.5">
      <c r="A4" s="510"/>
      <c r="B4" s="456" t="s">
        <v>380</v>
      </c>
      <c r="C4" s="670" t="s">
        <v>381</v>
      </c>
      <c r="D4" s="670"/>
      <c r="E4" s="119"/>
      <c r="F4" s="661"/>
      <c r="G4" s="661"/>
      <c r="H4" s="662"/>
    </row>
    <row r="5" spans="1:8" ht="15.75">
      <c r="A5" s="510"/>
      <c r="B5" s="456" t="s">
        <v>382</v>
      </c>
      <c r="C5" s="456"/>
      <c r="D5" s="114"/>
      <c r="E5" s="660"/>
      <c r="F5" s="647"/>
      <c r="G5" s="647"/>
      <c r="H5" s="511"/>
    </row>
    <row r="6" spans="1:8" ht="15.75">
      <c r="A6" s="510"/>
      <c r="B6" s="456" t="s">
        <v>383</v>
      </c>
      <c r="C6" s="456"/>
      <c r="D6" s="114"/>
      <c r="E6" s="117"/>
      <c r="F6" s="133"/>
      <c r="G6" s="133"/>
      <c r="H6" s="512"/>
    </row>
    <row r="7" spans="1:8" ht="16.5" thickBot="1">
      <c r="A7" s="513"/>
      <c r="B7" s="514" t="s">
        <v>384</v>
      </c>
      <c r="C7" s="515"/>
      <c r="D7" s="516"/>
      <c r="E7" s="517"/>
      <c r="F7" s="518"/>
      <c r="G7" s="518"/>
      <c r="H7" s="519"/>
    </row>
    <row r="8" spans="1:8" ht="12.75">
      <c r="A8" s="717" t="s">
        <v>46</v>
      </c>
      <c r="B8" s="718"/>
      <c r="C8" s="718"/>
      <c r="D8" s="718"/>
      <c r="E8" s="718"/>
      <c r="F8" s="718"/>
      <c r="G8" s="718"/>
      <c r="H8" s="719"/>
    </row>
    <row r="9" spans="1:8" ht="69" customHeight="1">
      <c r="A9" s="707" t="s">
        <v>678</v>
      </c>
      <c r="B9" s="708"/>
      <c r="C9" s="362"/>
      <c r="D9" s="363"/>
      <c r="E9" s="364"/>
      <c r="F9" s="364"/>
      <c r="G9" s="365"/>
      <c r="H9" s="365"/>
    </row>
    <row r="10" spans="1:8" ht="24">
      <c r="A10" s="356"/>
      <c r="B10" s="366" t="s">
        <v>679</v>
      </c>
      <c r="C10" s="335"/>
      <c r="D10" s="367"/>
      <c r="E10" s="337"/>
      <c r="F10" s="337"/>
      <c r="G10" s="338"/>
      <c r="H10" s="338"/>
    </row>
    <row r="11" spans="1:8" ht="12.75">
      <c r="A11" s="356"/>
      <c r="B11" s="366" t="s">
        <v>680</v>
      </c>
      <c r="C11" s="368"/>
      <c r="D11" s="369"/>
      <c r="E11" s="370"/>
      <c r="F11" s="371"/>
      <c r="G11" s="338"/>
      <c r="H11" s="338"/>
    </row>
    <row r="12" spans="1:8" ht="12.75">
      <c r="A12" s="356"/>
      <c r="B12" s="366" t="s">
        <v>681</v>
      </c>
      <c r="C12" s="368"/>
      <c r="D12" s="369"/>
      <c r="E12" s="370"/>
      <c r="F12" s="371"/>
      <c r="G12" s="338"/>
      <c r="H12" s="338"/>
    </row>
    <row r="13" spans="1:8" ht="12.75">
      <c r="A13" s="356"/>
      <c r="B13" s="366" t="s">
        <v>682</v>
      </c>
      <c r="C13" s="368"/>
      <c r="D13" s="369"/>
      <c r="E13" s="370"/>
      <c r="F13" s="371"/>
      <c r="G13" s="338"/>
      <c r="H13" s="338"/>
    </row>
    <row r="14" spans="1:8" ht="12.75">
      <c r="A14" s="356"/>
      <c r="B14" s="366" t="s">
        <v>683</v>
      </c>
      <c r="C14" s="340"/>
      <c r="D14" s="340"/>
      <c r="E14" s="340"/>
      <c r="F14" s="340"/>
      <c r="G14" s="340"/>
      <c r="H14" s="340"/>
    </row>
    <row r="15" spans="1:8" ht="12.75">
      <c r="A15" s="356"/>
      <c r="B15" s="366" t="s">
        <v>684</v>
      </c>
      <c r="C15" s="368"/>
      <c r="D15" s="372"/>
      <c r="E15" s="347"/>
      <c r="F15" s="347"/>
      <c r="G15" s="373"/>
      <c r="H15" s="374"/>
    </row>
    <row r="16" spans="1:8" ht="12.75">
      <c r="A16" s="356"/>
      <c r="B16" s="366" t="s">
        <v>685</v>
      </c>
      <c r="C16" s="368" t="s">
        <v>293</v>
      </c>
      <c r="D16" s="372">
        <v>46587.795</v>
      </c>
      <c r="E16" s="347">
        <v>1</v>
      </c>
      <c r="F16" s="347">
        <v>1</v>
      </c>
      <c r="G16" s="373">
        <v>1</v>
      </c>
      <c r="H16" s="374">
        <f>PRODUCT(D16:G16)</f>
        <v>46587.795</v>
      </c>
    </row>
    <row r="17" spans="1:8" ht="12.75">
      <c r="A17" s="356"/>
      <c r="B17" s="375" t="s">
        <v>650</v>
      </c>
      <c r="C17" s="376" t="s">
        <v>293</v>
      </c>
      <c r="D17" s="377">
        <v>45</v>
      </c>
      <c r="E17" s="347">
        <v>1</v>
      </c>
      <c r="F17" s="347">
        <v>1</v>
      </c>
      <c r="G17" s="378">
        <v>4</v>
      </c>
      <c r="H17" s="374">
        <f>PRODUCT(D17:G17)</f>
        <v>180</v>
      </c>
    </row>
    <row r="18" spans="1:8" ht="12.75">
      <c r="A18" s="356"/>
      <c r="B18" s="375" t="s">
        <v>373</v>
      </c>
      <c r="C18" s="376" t="s">
        <v>295</v>
      </c>
      <c r="D18" s="377">
        <f>SUM(H15:H17)*12%</f>
        <v>5612.135399999999</v>
      </c>
      <c r="E18" s="347">
        <v>1</v>
      </c>
      <c r="F18" s="347">
        <v>1</v>
      </c>
      <c r="G18" s="378">
        <v>1</v>
      </c>
      <c r="H18" s="374">
        <f>PRODUCT(D18:G18)</f>
        <v>5612.135399999999</v>
      </c>
    </row>
    <row r="19" spans="1:8" ht="12.75">
      <c r="A19" s="380"/>
      <c r="B19" s="381"/>
      <c r="C19" s="382"/>
      <c r="D19" s="383"/>
      <c r="E19" s="380"/>
      <c r="F19" s="380"/>
      <c r="G19" s="384"/>
      <c r="H19" s="385">
        <f>SUM(H15:H18)</f>
        <v>52379.9304</v>
      </c>
    </row>
    <row r="20" spans="1:8" ht="40.5" customHeight="1">
      <c r="A20" s="707" t="s">
        <v>686</v>
      </c>
      <c r="B20" s="708"/>
      <c r="C20" s="362"/>
      <c r="D20" s="363"/>
      <c r="E20" s="364"/>
      <c r="F20" s="364"/>
      <c r="G20" s="365"/>
      <c r="H20" s="365"/>
    </row>
    <row r="21" spans="1:8" ht="24">
      <c r="A21" s="356"/>
      <c r="B21" s="366" t="s">
        <v>679</v>
      </c>
      <c r="C21" s="335"/>
      <c r="D21" s="367"/>
      <c r="E21" s="337"/>
      <c r="F21" s="337"/>
      <c r="G21" s="338"/>
      <c r="H21" s="338"/>
    </row>
    <row r="22" spans="1:8" ht="12.75">
      <c r="A22" s="356"/>
      <c r="B22" s="366" t="s">
        <v>681</v>
      </c>
      <c r="C22" s="368"/>
      <c r="D22" s="369"/>
      <c r="E22" s="370"/>
      <c r="F22" s="371"/>
      <c r="G22" s="338"/>
      <c r="H22" s="338"/>
    </row>
    <row r="23" spans="1:8" ht="12.75">
      <c r="A23" s="356"/>
      <c r="B23" s="366" t="s">
        <v>687</v>
      </c>
      <c r="C23" s="368"/>
      <c r="D23" s="369"/>
      <c r="E23" s="370"/>
      <c r="F23" s="371"/>
      <c r="G23" s="338"/>
      <c r="H23" s="338"/>
    </row>
    <row r="24" spans="1:8" ht="12.75">
      <c r="A24" s="356"/>
      <c r="B24" s="366" t="s">
        <v>688</v>
      </c>
      <c r="C24" s="340"/>
      <c r="D24" s="340"/>
      <c r="E24" s="340"/>
      <c r="F24" s="340"/>
      <c r="G24" s="340"/>
      <c r="H24" s="340"/>
    </row>
    <row r="25" spans="1:8" ht="12.75">
      <c r="A25" s="356"/>
      <c r="B25" s="366" t="s">
        <v>689</v>
      </c>
      <c r="C25" s="368"/>
      <c r="D25" s="372"/>
      <c r="E25" s="347"/>
      <c r="F25" s="347"/>
      <c r="G25" s="373"/>
      <c r="H25" s="374"/>
    </row>
    <row r="26" spans="1:8" ht="12.75">
      <c r="A26" s="356"/>
      <c r="B26" s="366" t="s">
        <v>690</v>
      </c>
      <c r="C26" s="452"/>
      <c r="D26" s="343"/>
      <c r="E26" s="340"/>
      <c r="F26" s="340"/>
      <c r="G26" s="451"/>
      <c r="H26" s="451"/>
    </row>
    <row r="27" spans="1:8" ht="12.75">
      <c r="A27" s="356"/>
      <c r="B27" s="375" t="s">
        <v>691</v>
      </c>
      <c r="C27" s="368" t="s">
        <v>293</v>
      </c>
      <c r="D27" s="372">
        <v>33661.09</v>
      </c>
      <c r="E27" s="347">
        <v>1</v>
      </c>
      <c r="F27" s="347">
        <v>1</v>
      </c>
      <c r="G27" s="373">
        <v>1</v>
      </c>
      <c r="H27" s="374">
        <f>PRODUCT(D27:G27)</f>
        <v>33661.09</v>
      </c>
    </row>
    <row r="28" spans="1:8" ht="12.75">
      <c r="A28" s="356"/>
      <c r="B28" s="375" t="s">
        <v>650</v>
      </c>
      <c r="C28" s="376" t="s">
        <v>293</v>
      </c>
      <c r="D28" s="377">
        <v>45</v>
      </c>
      <c r="E28" s="347">
        <v>1</v>
      </c>
      <c r="F28" s="347">
        <v>1</v>
      </c>
      <c r="G28" s="378">
        <v>4</v>
      </c>
      <c r="H28" s="374">
        <f>PRODUCT(D28:G28)</f>
        <v>180</v>
      </c>
    </row>
    <row r="29" spans="1:8" ht="12.75">
      <c r="A29" s="356"/>
      <c r="B29" s="375" t="s">
        <v>373</v>
      </c>
      <c r="C29" s="376" t="s">
        <v>295</v>
      </c>
      <c r="D29" s="377">
        <f>SUM(H25:H27)*12%</f>
        <v>4039.3307999999993</v>
      </c>
      <c r="E29" s="347">
        <v>1</v>
      </c>
      <c r="F29" s="347">
        <v>1</v>
      </c>
      <c r="G29" s="378">
        <v>1</v>
      </c>
      <c r="H29" s="374">
        <f>PRODUCT(D29:G29)</f>
        <v>4039.3307999999993</v>
      </c>
    </row>
    <row r="30" spans="1:8" ht="12.75">
      <c r="A30" s="380"/>
      <c r="B30" s="381"/>
      <c r="C30" s="382"/>
      <c r="D30" s="383"/>
      <c r="E30" s="380"/>
      <c r="F30" s="380"/>
      <c r="G30" s="384"/>
      <c r="H30" s="385">
        <f>SUM(H25:H29)</f>
        <v>37880.42079999999</v>
      </c>
    </row>
    <row r="31" spans="1:8" ht="12.75">
      <c r="A31" s="720" t="s">
        <v>692</v>
      </c>
      <c r="B31" s="721"/>
      <c r="C31" s="382"/>
      <c r="D31" s="383"/>
      <c r="E31" s="380"/>
      <c r="F31" s="380"/>
      <c r="G31" s="384"/>
      <c r="H31" s="385"/>
    </row>
    <row r="32" spans="1:8" ht="51">
      <c r="A32" s="380"/>
      <c r="B32" s="381" t="s">
        <v>693</v>
      </c>
      <c r="C32" s="368" t="s">
        <v>293</v>
      </c>
      <c r="D32" s="372">
        <v>138690.56</v>
      </c>
      <c r="E32" s="347">
        <v>1</v>
      </c>
      <c r="F32" s="347">
        <v>1</v>
      </c>
      <c r="G32" s="373">
        <v>1</v>
      </c>
      <c r="H32" s="374">
        <f>PRODUCT(D32:G32)</f>
        <v>138690.56</v>
      </c>
    </row>
    <row r="33" spans="1:8" ht="12.75">
      <c r="A33" s="380"/>
      <c r="B33" s="375" t="s">
        <v>373</v>
      </c>
      <c r="C33" s="376" t="s">
        <v>295</v>
      </c>
      <c r="D33" s="377">
        <f>SUM(H32)*12%</f>
        <v>16642.8672</v>
      </c>
      <c r="E33" s="347">
        <v>1</v>
      </c>
      <c r="F33" s="347">
        <v>1</v>
      </c>
      <c r="G33" s="378">
        <v>1</v>
      </c>
      <c r="H33" s="374">
        <f>PRODUCT(D33:G33)</f>
        <v>16642.8672</v>
      </c>
    </row>
    <row r="34" spans="1:8" ht="12.75">
      <c r="A34" s="380"/>
      <c r="B34" s="381"/>
      <c r="C34" s="382"/>
      <c r="D34" s="383"/>
      <c r="E34" s="380"/>
      <c r="F34" s="380"/>
      <c r="G34" s="384"/>
      <c r="H34" s="385">
        <f>SUM(H32:H33)</f>
        <v>155333.4272</v>
      </c>
    </row>
    <row r="35" spans="1:8" ht="12.75">
      <c r="A35" s="720" t="s">
        <v>694</v>
      </c>
      <c r="B35" s="721"/>
      <c r="C35" s="382"/>
      <c r="D35" s="383"/>
      <c r="E35" s="380"/>
      <c r="F35" s="380"/>
      <c r="G35" s="384"/>
      <c r="H35" s="385"/>
    </row>
    <row r="36" spans="1:8" ht="12.75">
      <c r="A36" s="380"/>
      <c r="B36" s="381" t="s">
        <v>695</v>
      </c>
      <c r="C36" s="382"/>
      <c r="D36" s="383"/>
      <c r="E36" s="380"/>
      <c r="F36" s="380"/>
      <c r="G36" s="384"/>
      <c r="H36" s="385"/>
    </row>
    <row r="37" spans="1:8" ht="12.75">
      <c r="A37" s="380"/>
      <c r="B37" s="381" t="s">
        <v>696</v>
      </c>
      <c r="C37" s="382"/>
      <c r="D37" s="383"/>
      <c r="E37" s="380"/>
      <c r="F37" s="380"/>
      <c r="G37" s="384"/>
      <c r="H37" s="385"/>
    </row>
    <row r="38" spans="1:8" ht="12.75">
      <c r="A38" s="380"/>
      <c r="B38" s="381" t="s">
        <v>697</v>
      </c>
      <c r="C38" s="382"/>
      <c r="D38" s="383"/>
      <c r="E38" s="380"/>
      <c r="F38" s="380"/>
      <c r="G38" s="384"/>
      <c r="H38" s="385"/>
    </row>
    <row r="39" spans="1:8" ht="12.75">
      <c r="A39" s="380"/>
      <c r="B39" s="381" t="s">
        <v>698</v>
      </c>
      <c r="C39" s="382"/>
      <c r="D39" s="383"/>
      <c r="E39" s="380"/>
      <c r="F39" s="380"/>
      <c r="G39" s="384"/>
      <c r="H39" s="385"/>
    </row>
    <row r="40" spans="1:8" ht="12.75">
      <c r="A40" s="380"/>
      <c r="B40" s="381" t="s">
        <v>699</v>
      </c>
      <c r="C40" s="382"/>
      <c r="D40" s="383"/>
      <c r="E40" s="380"/>
      <c r="F40" s="380"/>
      <c r="G40" s="384"/>
      <c r="H40" s="385"/>
    </row>
    <row r="41" spans="1:8" ht="12.75">
      <c r="A41" s="380"/>
      <c r="B41" s="381" t="s">
        <v>700</v>
      </c>
      <c r="C41" s="382"/>
      <c r="D41" s="383"/>
      <c r="E41" s="380"/>
      <c r="F41" s="380"/>
      <c r="G41" s="384"/>
      <c r="H41" s="385"/>
    </row>
    <row r="42" spans="1:8" ht="12.75">
      <c r="A42" s="380"/>
      <c r="B42" s="381" t="s">
        <v>701</v>
      </c>
      <c r="C42" s="382"/>
      <c r="D42" s="383"/>
      <c r="E42" s="380"/>
      <c r="F42" s="380"/>
      <c r="G42" s="384"/>
      <c r="H42" s="385"/>
    </row>
    <row r="43" spans="1:8" ht="12.75">
      <c r="A43" s="380"/>
      <c r="B43" s="381" t="s">
        <v>702</v>
      </c>
      <c r="C43" s="368" t="s">
        <v>293</v>
      </c>
      <c r="D43" s="372">
        <v>89112.23</v>
      </c>
      <c r="E43" s="347">
        <v>1</v>
      </c>
      <c r="F43" s="347">
        <v>1</v>
      </c>
      <c r="G43" s="373">
        <v>1</v>
      </c>
      <c r="H43" s="374">
        <f>PRODUCT(D43:G43)</f>
        <v>89112.23</v>
      </c>
    </row>
    <row r="44" spans="1:8" ht="12.75">
      <c r="A44" s="380"/>
      <c r="B44" s="457" t="s">
        <v>373</v>
      </c>
      <c r="C44" s="458" t="s">
        <v>295</v>
      </c>
      <c r="D44" s="459">
        <f>SUM(H43)*12%</f>
        <v>10693.4676</v>
      </c>
      <c r="E44" s="347">
        <v>1</v>
      </c>
      <c r="F44" s="347">
        <v>1</v>
      </c>
      <c r="G44" s="460">
        <v>1</v>
      </c>
      <c r="H44" s="374">
        <f>PRODUCT(D44:G44)</f>
        <v>10693.4676</v>
      </c>
    </row>
    <row r="45" spans="1:8" ht="12.75">
      <c r="A45" s="380"/>
      <c r="B45" s="381"/>
      <c r="C45" s="382"/>
      <c r="D45" s="383"/>
      <c r="E45" s="380"/>
      <c r="F45" s="380"/>
      <c r="G45" s="384"/>
      <c r="H45" s="385">
        <f>SUM(H43:H44)</f>
        <v>99805.6976</v>
      </c>
    </row>
    <row r="46" spans="1:8" ht="12.75">
      <c r="A46" s="694" t="s">
        <v>445</v>
      </c>
      <c r="B46" s="695"/>
      <c r="C46" s="463"/>
      <c r="D46" s="464"/>
      <c r="E46" s="465"/>
      <c r="F46" s="465"/>
      <c r="G46" s="466"/>
      <c r="H46" s="467"/>
    </row>
    <row r="47" spans="1:9" ht="63.75">
      <c r="A47" s="462"/>
      <c r="B47" s="468" t="s">
        <v>445</v>
      </c>
      <c r="C47" s="368" t="s">
        <v>293</v>
      </c>
      <c r="D47" s="372">
        <v>17633.545</v>
      </c>
      <c r="E47" s="347">
        <v>1</v>
      </c>
      <c r="F47" s="347">
        <v>1</v>
      </c>
      <c r="G47" s="373">
        <v>1</v>
      </c>
      <c r="H47" s="374">
        <f>PRODUCT(D47:G47)</f>
        <v>17633.545</v>
      </c>
      <c r="I47" s="374">
        <f>D47*G47</f>
        <v>17633.545</v>
      </c>
    </row>
    <row r="48" spans="1:9" ht="12.75">
      <c r="A48" s="462"/>
      <c r="B48" s="457" t="s">
        <v>373</v>
      </c>
      <c r="C48" s="458" t="s">
        <v>295</v>
      </c>
      <c r="D48" s="459">
        <f>SUM(I47)*12%</f>
        <v>2116.0253999999995</v>
      </c>
      <c r="E48" s="347">
        <v>1</v>
      </c>
      <c r="F48" s="347">
        <v>1</v>
      </c>
      <c r="G48" s="460">
        <v>1</v>
      </c>
      <c r="H48" s="374">
        <f>PRODUCT(D48:G48)</f>
        <v>2116.0253999999995</v>
      </c>
      <c r="I48" s="461">
        <f>D48*G48</f>
        <v>2116.0253999999995</v>
      </c>
    </row>
    <row r="49" spans="1:9" ht="12" customHeight="1">
      <c r="A49" s="380"/>
      <c r="B49" s="381"/>
      <c r="C49" s="382"/>
      <c r="D49" s="382"/>
      <c r="E49" s="383"/>
      <c r="F49" s="380"/>
      <c r="G49" s="380"/>
      <c r="H49" s="385">
        <f>SUM(H47:H48)</f>
        <v>19749.570399999997</v>
      </c>
      <c r="I49" s="385">
        <f>SUM(I47:I48)</f>
        <v>19749.570399999997</v>
      </c>
    </row>
    <row r="50" spans="1:9" ht="12" customHeight="1">
      <c r="A50" s="696" t="s">
        <v>703</v>
      </c>
      <c r="B50" s="697"/>
      <c r="C50" s="382"/>
      <c r="D50" s="382"/>
      <c r="E50" s="383"/>
      <c r="F50" s="380"/>
      <c r="G50" s="380"/>
      <c r="H50" s="385"/>
      <c r="I50" s="469"/>
    </row>
    <row r="51" spans="1:9" ht="141" customHeight="1">
      <c r="A51" s="380"/>
      <c r="B51" s="470" t="s">
        <v>704</v>
      </c>
      <c r="C51" s="368" t="s">
        <v>293</v>
      </c>
      <c r="D51" s="372">
        <v>65096.51</v>
      </c>
      <c r="E51" s="347">
        <v>1</v>
      </c>
      <c r="F51" s="347">
        <v>1</v>
      </c>
      <c r="G51" s="373">
        <v>1</v>
      </c>
      <c r="H51" s="374">
        <f>PRODUCT(D51:G51)</f>
        <v>65096.51</v>
      </c>
      <c r="I51" s="469"/>
    </row>
    <row r="52" spans="1:9" ht="12.75">
      <c r="A52" s="380"/>
      <c r="B52" s="457" t="s">
        <v>373</v>
      </c>
      <c r="C52" s="458" t="s">
        <v>295</v>
      </c>
      <c r="D52" s="459">
        <f>SUM(H51)*12%</f>
        <v>7811.5812</v>
      </c>
      <c r="E52" s="347">
        <v>1</v>
      </c>
      <c r="F52" s="347">
        <v>1</v>
      </c>
      <c r="G52" s="460">
        <v>1</v>
      </c>
      <c r="H52" s="374">
        <f>PRODUCT(D52:G52)</f>
        <v>7811.5812</v>
      </c>
      <c r="I52" s="469"/>
    </row>
    <row r="53" spans="1:9" ht="27.75" customHeight="1">
      <c r="A53" s="380"/>
      <c r="B53" s="381"/>
      <c r="C53" s="382"/>
      <c r="D53" s="382"/>
      <c r="E53" s="383"/>
      <c r="F53" s="380"/>
      <c r="G53" s="380"/>
      <c r="H53" s="385">
        <f>SUM(H51:H52)</f>
        <v>72908.0912</v>
      </c>
      <c r="I53" s="469"/>
    </row>
    <row r="54" spans="1:9" ht="12.75">
      <c r="A54" s="531"/>
      <c r="B54" s="532"/>
      <c r="C54" s="382"/>
      <c r="D54" s="382"/>
      <c r="E54" s="383"/>
      <c r="F54" s="380"/>
      <c r="G54" s="380"/>
      <c r="H54" s="385"/>
      <c r="I54" s="469"/>
    </row>
    <row r="55" spans="1:8" ht="62.25" customHeight="1">
      <c r="A55" s="696" t="s">
        <v>703</v>
      </c>
      <c r="B55" s="697"/>
      <c r="C55" s="382"/>
      <c r="D55" s="382"/>
      <c r="E55" s="383"/>
      <c r="F55" s="380"/>
      <c r="G55" s="380"/>
      <c r="H55" s="385"/>
    </row>
    <row r="56" spans="1:8" ht="165.75">
      <c r="A56" s="380"/>
      <c r="B56" s="470" t="s">
        <v>704</v>
      </c>
      <c r="C56" s="368" t="s">
        <v>293</v>
      </c>
      <c r="D56" s="372">
        <v>67235.35</v>
      </c>
      <c r="E56" s="347">
        <v>1</v>
      </c>
      <c r="F56" s="347">
        <v>1</v>
      </c>
      <c r="G56" s="373">
        <v>1</v>
      </c>
      <c r="H56" s="374">
        <f>PRODUCT(D56:G56)</f>
        <v>67235.35</v>
      </c>
    </row>
    <row r="57" spans="1:8" ht="12.75">
      <c r="A57" s="380"/>
      <c r="B57" s="457" t="s">
        <v>373</v>
      </c>
      <c r="C57" s="458" t="s">
        <v>295</v>
      </c>
      <c r="D57" s="459">
        <f>SUM(H56)*12%</f>
        <v>8068.242</v>
      </c>
      <c r="E57" s="347">
        <v>1</v>
      </c>
      <c r="F57" s="347">
        <v>1</v>
      </c>
      <c r="G57" s="460">
        <v>1</v>
      </c>
      <c r="H57" s="374">
        <f>PRODUCT(D57:G57)</f>
        <v>8068.242</v>
      </c>
    </row>
    <row r="58" spans="1:8" ht="12.75">
      <c r="A58" s="380"/>
      <c r="B58" s="381"/>
      <c r="C58" s="382"/>
      <c r="D58" s="382"/>
      <c r="E58" s="383"/>
      <c r="F58" s="380"/>
      <c r="G58" s="380"/>
      <c r="H58" s="385">
        <f>SUM(H56:H57)</f>
        <v>75303.592</v>
      </c>
    </row>
    <row r="59" spans="1:8" ht="12.75">
      <c r="A59" s="709" t="s">
        <v>446</v>
      </c>
      <c r="B59" s="709"/>
      <c r="C59" s="709"/>
      <c r="D59" s="386"/>
      <c r="E59" s="386"/>
      <c r="F59" s="347"/>
      <c r="G59" s="338"/>
      <c r="H59" s="338"/>
    </row>
    <row r="60" spans="1:8" ht="24">
      <c r="A60" s="347"/>
      <c r="B60" s="387" t="s">
        <v>705</v>
      </c>
      <c r="C60" s="388" t="s">
        <v>293</v>
      </c>
      <c r="D60" s="386">
        <v>1291.44</v>
      </c>
      <c r="E60" s="337">
        <v>1</v>
      </c>
      <c r="F60" s="337">
        <v>1</v>
      </c>
      <c r="G60" s="338">
        <v>1</v>
      </c>
      <c r="H60" s="374">
        <f>PRODUCT(D60:G60)</f>
        <v>1291.44</v>
      </c>
    </row>
    <row r="61" spans="1:8" ht="12.75">
      <c r="A61" s="347"/>
      <c r="B61" s="387" t="s">
        <v>651</v>
      </c>
      <c r="C61" s="388" t="s">
        <v>293</v>
      </c>
      <c r="D61" s="386">
        <f>(136.31)*1.18*1.453</f>
        <v>233.7089474</v>
      </c>
      <c r="E61" s="337">
        <v>1</v>
      </c>
      <c r="F61" s="337">
        <v>1</v>
      </c>
      <c r="G61" s="338">
        <v>6</v>
      </c>
      <c r="H61" s="374">
        <f>PRODUCT(D61:G61)</f>
        <v>1402.2536844</v>
      </c>
    </row>
    <row r="62" spans="1:8" ht="12.75">
      <c r="A62" s="347"/>
      <c r="B62" s="387" t="s">
        <v>325</v>
      </c>
      <c r="C62" s="388" t="s">
        <v>293</v>
      </c>
      <c r="D62" s="386">
        <v>45</v>
      </c>
      <c r="E62" s="337">
        <v>1</v>
      </c>
      <c r="F62" s="337">
        <v>1</v>
      </c>
      <c r="G62" s="338">
        <v>4</v>
      </c>
      <c r="H62" s="374">
        <f>PRODUCT(D62:G62)</f>
        <v>180</v>
      </c>
    </row>
    <row r="63" spans="1:8" ht="12.75">
      <c r="A63" s="347"/>
      <c r="B63" s="387" t="s">
        <v>294</v>
      </c>
      <c r="C63" s="388" t="s">
        <v>295</v>
      </c>
      <c r="D63" s="386">
        <f>SUM(H60:H62)*25%</f>
        <v>718.4234211</v>
      </c>
      <c r="E63" s="337">
        <v>1</v>
      </c>
      <c r="F63" s="337">
        <v>1</v>
      </c>
      <c r="G63" s="338">
        <v>1</v>
      </c>
      <c r="H63" s="374">
        <f>PRODUCT(D63:G63)</f>
        <v>718.4234211</v>
      </c>
    </row>
    <row r="64" spans="1:8" ht="12.75">
      <c r="A64" s="347"/>
      <c r="B64" s="389"/>
      <c r="C64" s="390"/>
      <c r="D64" s="391"/>
      <c r="E64" s="347"/>
      <c r="F64" s="347"/>
      <c r="G64" s="348"/>
      <c r="H64" s="345">
        <f>SUM(H60:H63)</f>
        <v>3592.1171055000004</v>
      </c>
    </row>
    <row r="65" spans="1:8" ht="12.75">
      <c r="A65" s="709" t="s">
        <v>706</v>
      </c>
      <c r="B65" s="709"/>
      <c r="C65" s="709"/>
      <c r="D65" s="386"/>
      <c r="E65" s="386"/>
      <c r="F65" s="347"/>
      <c r="G65" s="338"/>
      <c r="H65" s="338"/>
    </row>
    <row r="66" spans="1:8" ht="24">
      <c r="A66" s="347"/>
      <c r="B66" s="387" t="s">
        <v>707</v>
      </c>
      <c r="C66" s="388" t="s">
        <v>293</v>
      </c>
      <c r="D66" s="386">
        <v>1558.4</v>
      </c>
      <c r="E66" s="337">
        <v>1</v>
      </c>
      <c r="F66" s="337">
        <v>1</v>
      </c>
      <c r="G66" s="338">
        <v>1</v>
      </c>
      <c r="H66" s="374">
        <f>PRODUCT(D66:G66)</f>
        <v>1558.4</v>
      </c>
    </row>
    <row r="67" spans="1:8" ht="12.75">
      <c r="A67" s="347"/>
      <c r="B67" s="387" t="s">
        <v>708</v>
      </c>
      <c r="C67" s="388" t="s">
        <v>293</v>
      </c>
      <c r="D67" s="386">
        <f>(136.31)*1.18*1.453*15/20</f>
        <v>175.28171055</v>
      </c>
      <c r="E67" s="337">
        <v>1</v>
      </c>
      <c r="F67" s="337">
        <v>1</v>
      </c>
      <c r="G67" s="338">
        <v>3</v>
      </c>
      <c r="H67" s="374">
        <f>PRODUCT(D67:G67)</f>
        <v>525.84513165</v>
      </c>
    </row>
    <row r="68" spans="1:8" ht="12.75">
      <c r="A68" s="347"/>
      <c r="B68" s="387" t="s">
        <v>651</v>
      </c>
      <c r="C68" s="388" t="s">
        <v>293</v>
      </c>
      <c r="D68" s="386">
        <f>(136.31)*1.18*1.453</f>
        <v>233.7089474</v>
      </c>
      <c r="E68" s="337">
        <v>1</v>
      </c>
      <c r="F68" s="337">
        <v>1</v>
      </c>
      <c r="G68" s="338">
        <v>2</v>
      </c>
      <c r="H68" s="374">
        <f>PRODUCT(D68:G68)</f>
        <v>467.4178948</v>
      </c>
    </row>
    <row r="69" spans="1:8" ht="12.75">
      <c r="A69" s="347"/>
      <c r="B69" s="387" t="s">
        <v>325</v>
      </c>
      <c r="C69" s="388" t="s">
        <v>293</v>
      </c>
      <c r="D69" s="386">
        <v>45</v>
      </c>
      <c r="E69" s="337">
        <v>1</v>
      </c>
      <c r="F69" s="337">
        <v>1</v>
      </c>
      <c r="G69" s="338">
        <v>4</v>
      </c>
      <c r="H69" s="374">
        <f>PRODUCT(D69:G69)</f>
        <v>180</v>
      </c>
    </row>
    <row r="70" spans="1:8" ht="12.75">
      <c r="A70" s="347"/>
      <c r="B70" s="387" t="s">
        <v>294</v>
      </c>
      <c r="C70" s="388" t="s">
        <v>295</v>
      </c>
      <c r="D70" s="386">
        <f>SUM(H66:H69)*25%</f>
        <v>682.9157566125</v>
      </c>
      <c r="E70" s="337">
        <v>1</v>
      </c>
      <c r="F70" s="337">
        <v>1</v>
      </c>
      <c r="G70" s="338">
        <v>1</v>
      </c>
      <c r="H70" s="374">
        <f>PRODUCT(D70:G70)</f>
        <v>682.9157566125</v>
      </c>
    </row>
    <row r="71" spans="1:8" ht="12.75">
      <c r="A71" s="347"/>
      <c r="B71" s="389"/>
      <c r="C71" s="390"/>
      <c r="D71" s="391"/>
      <c r="E71" s="347"/>
      <c r="F71" s="347"/>
      <c r="G71" s="348"/>
      <c r="H71" s="345">
        <f>SUM(H66:H70)</f>
        <v>3414.5787830625</v>
      </c>
    </row>
    <row r="72" spans="1:8" ht="12.75">
      <c r="A72" s="347"/>
      <c r="B72" s="389"/>
      <c r="C72" s="390"/>
      <c r="D72" s="391"/>
      <c r="E72" s="347"/>
      <c r="F72" s="347"/>
      <c r="G72" s="348"/>
      <c r="H72" s="345"/>
    </row>
    <row r="73" spans="1:8" ht="12.75">
      <c r="A73" s="713" t="s">
        <v>709</v>
      </c>
      <c r="B73" s="714"/>
      <c r="C73" s="714"/>
      <c r="D73" s="392"/>
      <c r="E73" s="392"/>
      <c r="F73" s="364"/>
      <c r="G73" s="339"/>
      <c r="H73" s="339"/>
    </row>
    <row r="74" spans="1:8" ht="24">
      <c r="A74" s="337"/>
      <c r="B74" s="393" t="s">
        <v>711</v>
      </c>
      <c r="C74" s="394" t="s">
        <v>293</v>
      </c>
      <c r="D74" s="377">
        <f>4651.207*1.18</f>
        <v>5488.42426</v>
      </c>
      <c r="E74" s="337">
        <v>1</v>
      </c>
      <c r="F74" s="337">
        <v>1</v>
      </c>
      <c r="G74" s="378">
        <v>1</v>
      </c>
      <c r="H74" s="374">
        <f aca="true" t="shared" si="0" ref="H74:H81">PRODUCT(D74:G74)</f>
        <v>5488.42426</v>
      </c>
    </row>
    <row r="75" spans="1:8" ht="12.75">
      <c r="A75" s="337"/>
      <c r="B75" s="393" t="s">
        <v>712</v>
      </c>
      <c r="C75" s="394" t="s">
        <v>293</v>
      </c>
      <c r="D75" s="377">
        <v>233.7089474</v>
      </c>
      <c r="E75" s="337">
        <v>1</v>
      </c>
      <c r="F75" s="337">
        <v>1</v>
      </c>
      <c r="G75" s="378">
        <v>3</v>
      </c>
      <c r="H75" s="374">
        <f t="shared" si="0"/>
        <v>701.1268422</v>
      </c>
    </row>
    <row r="76" spans="1:8" ht="12.75">
      <c r="A76" s="337"/>
      <c r="B76" s="393" t="s">
        <v>710</v>
      </c>
      <c r="C76" s="394" t="s">
        <v>293</v>
      </c>
      <c r="D76" s="377">
        <v>175.28171055</v>
      </c>
      <c r="E76" s="337">
        <v>1</v>
      </c>
      <c r="F76" s="337">
        <v>1</v>
      </c>
      <c r="G76" s="378">
        <v>12</v>
      </c>
      <c r="H76" s="374">
        <f t="shared" si="0"/>
        <v>2103.3805266</v>
      </c>
    </row>
    <row r="77" spans="1:8" ht="12.75">
      <c r="A77" s="337"/>
      <c r="B77" s="393" t="s">
        <v>713</v>
      </c>
      <c r="C77" s="394" t="s">
        <v>293</v>
      </c>
      <c r="D77" s="377">
        <f>233.7089474*40/20</f>
        <v>467.4178948</v>
      </c>
      <c r="E77" s="337">
        <v>1</v>
      </c>
      <c r="F77" s="337">
        <v>1</v>
      </c>
      <c r="G77" s="378">
        <v>1</v>
      </c>
      <c r="H77" s="374">
        <f t="shared" si="0"/>
        <v>467.4178948</v>
      </c>
    </row>
    <row r="78" spans="1:8" ht="12.75">
      <c r="A78" s="337"/>
      <c r="B78" s="393" t="s">
        <v>714</v>
      </c>
      <c r="C78" s="394" t="s">
        <v>293</v>
      </c>
      <c r="D78" s="377">
        <v>432.7</v>
      </c>
      <c r="E78" s="337">
        <v>1</v>
      </c>
      <c r="F78" s="337">
        <v>1</v>
      </c>
      <c r="G78" s="378">
        <v>1</v>
      </c>
      <c r="H78" s="374">
        <f t="shared" si="0"/>
        <v>432.7</v>
      </c>
    </row>
    <row r="79" spans="1:8" ht="12.75" customHeight="1">
      <c r="A79" s="337"/>
      <c r="B79" s="393" t="s">
        <v>715</v>
      </c>
      <c r="C79" s="394" t="s">
        <v>293</v>
      </c>
      <c r="D79" s="377">
        <f>432.7*40/30</f>
        <v>576.9333333333333</v>
      </c>
      <c r="E79" s="337">
        <v>1</v>
      </c>
      <c r="F79" s="337">
        <v>1</v>
      </c>
      <c r="G79" s="378">
        <v>3</v>
      </c>
      <c r="H79" s="374">
        <f t="shared" si="0"/>
        <v>1730.7999999999997</v>
      </c>
    </row>
    <row r="80" spans="1:8" ht="12.75">
      <c r="A80" s="337"/>
      <c r="B80" s="387" t="s">
        <v>325</v>
      </c>
      <c r="C80" s="388" t="s">
        <v>293</v>
      </c>
      <c r="D80" s="386">
        <v>45</v>
      </c>
      <c r="E80" s="337">
        <v>1</v>
      </c>
      <c r="F80" s="337">
        <v>1</v>
      </c>
      <c r="G80" s="338">
        <v>4</v>
      </c>
      <c r="H80" s="374">
        <f t="shared" si="0"/>
        <v>180</v>
      </c>
    </row>
    <row r="81" spans="1:8" ht="12.75">
      <c r="A81" s="337"/>
      <c r="B81" s="387" t="s">
        <v>294</v>
      </c>
      <c r="C81" s="388" t="s">
        <v>295</v>
      </c>
      <c r="D81" s="386">
        <f>SUM(H74:H80)*25%</f>
        <v>2775.9623809000004</v>
      </c>
      <c r="E81" s="337">
        <v>1</v>
      </c>
      <c r="F81" s="337">
        <v>1</v>
      </c>
      <c r="G81" s="338">
        <v>1</v>
      </c>
      <c r="H81" s="374">
        <f t="shared" si="0"/>
        <v>2775.9623809000004</v>
      </c>
    </row>
    <row r="82" spans="1:8" ht="12.75">
      <c r="A82" s="337"/>
      <c r="B82" s="473"/>
      <c r="C82" s="335"/>
      <c r="D82" s="336"/>
      <c r="E82" s="337"/>
      <c r="F82" s="337"/>
      <c r="G82" s="338"/>
      <c r="H82" s="345">
        <f>SUM(H74:H81)</f>
        <v>13879.811904500002</v>
      </c>
    </row>
    <row r="83" spans="1:8" ht="60">
      <c r="A83" s="471"/>
      <c r="B83" s="475" t="s">
        <v>717</v>
      </c>
      <c r="C83" s="472"/>
      <c r="D83" s="386"/>
      <c r="E83" s="386"/>
      <c r="F83" s="347"/>
      <c r="G83" s="338"/>
      <c r="H83" s="338"/>
    </row>
    <row r="84" spans="1:8" ht="13.5" customHeight="1">
      <c r="A84" s="347"/>
      <c r="B84" s="474" t="s">
        <v>716</v>
      </c>
      <c r="C84" s="388" t="s">
        <v>129</v>
      </c>
      <c r="D84" s="386">
        <v>1</v>
      </c>
      <c r="E84" s="337">
        <v>1</v>
      </c>
      <c r="F84" s="337">
        <v>1</v>
      </c>
      <c r="G84" s="338">
        <v>300</v>
      </c>
      <c r="H84" s="374">
        <f>PRODUCT(D84:G84)</f>
        <v>300</v>
      </c>
    </row>
    <row r="85" spans="1:8" ht="12.75">
      <c r="A85" s="347"/>
      <c r="B85" s="393" t="s">
        <v>718</v>
      </c>
      <c r="C85" s="388" t="s">
        <v>21</v>
      </c>
      <c r="D85" s="386">
        <v>1</v>
      </c>
      <c r="E85" s="337">
        <v>1</v>
      </c>
      <c r="F85" s="337">
        <v>1</v>
      </c>
      <c r="G85" s="378">
        <v>71.500999</v>
      </c>
      <c r="H85" s="374">
        <f>PRODUCT(D85:G85)</f>
        <v>71.500999</v>
      </c>
    </row>
    <row r="86" spans="1:8" ht="12.75">
      <c r="A86" s="347"/>
      <c r="B86" s="387" t="s">
        <v>294</v>
      </c>
      <c r="C86" s="388" t="s">
        <v>21</v>
      </c>
      <c r="D86" s="386">
        <f>SUM(H84:H85)*0.15</f>
        <v>55.725149849999994</v>
      </c>
      <c r="E86" s="337">
        <v>1</v>
      </c>
      <c r="F86" s="337">
        <v>1</v>
      </c>
      <c r="G86" s="378">
        <v>1</v>
      </c>
      <c r="H86" s="374">
        <f>PRODUCT(D86:G86)</f>
        <v>55.725149849999994</v>
      </c>
    </row>
    <row r="87" spans="1:8" ht="12.75">
      <c r="A87" s="347"/>
      <c r="B87" s="387"/>
      <c r="C87" s="388"/>
      <c r="D87" s="386"/>
      <c r="E87" s="337"/>
      <c r="F87" s="337"/>
      <c r="G87" s="338"/>
      <c r="H87" s="404">
        <f>SUM(H84:H86)</f>
        <v>427.22614884999996</v>
      </c>
    </row>
    <row r="88" spans="1:8" ht="24">
      <c r="A88" s="364"/>
      <c r="B88" s="486" t="s">
        <v>728</v>
      </c>
      <c r="C88" s="476"/>
      <c r="D88" s="392"/>
      <c r="E88" s="477"/>
      <c r="F88" s="477"/>
      <c r="G88" s="339"/>
      <c r="H88" s="478"/>
    </row>
    <row r="89" spans="1:8" ht="12.75">
      <c r="A89" s="347"/>
      <c r="B89" s="399" t="s">
        <v>723</v>
      </c>
      <c r="C89" s="397"/>
      <c r="D89" s="479"/>
      <c r="E89" s="347"/>
      <c r="F89" s="347"/>
      <c r="G89" s="408"/>
      <c r="H89" s="480"/>
    </row>
    <row r="90" spans="1:8" ht="15" customHeight="1">
      <c r="A90" s="347"/>
      <c r="B90" s="399" t="s">
        <v>724</v>
      </c>
      <c r="C90" s="397"/>
      <c r="D90" s="479"/>
      <c r="E90" s="347"/>
      <c r="F90" s="347"/>
      <c r="G90" s="397"/>
      <c r="H90" s="480"/>
    </row>
    <row r="91" spans="1:8" ht="12.75">
      <c r="A91" s="347"/>
      <c r="B91" s="399" t="s">
        <v>725</v>
      </c>
      <c r="C91" s="397"/>
      <c r="D91" s="479"/>
      <c r="E91" s="347"/>
      <c r="F91" s="347"/>
      <c r="G91" s="397"/>
      <c r="H91" s="480"/>
    </row>
    <row r="92" spans="1:8" ht="12.75">
      <c r="A92" s="347"/>
      <c r="B92" s="399" t="s">
        <v>726</v>
      </c>
      <c r="C92" s="397" t="s">
        <v>121</v>
      </c>
      <c r="D92" s="479">
        <v>407.6913</v>
      </c>
      <c r="E92" s="347">
        <v>1</v>
      </c>
      <c r="F92" s="347">
        <v>1</v>
      </c>
      <c r="G92" s="397">
        <v>1</v>
      </c>
      <c r="H92" s="480">
        <f>PRODUCT(D92:G92)</f>
        <v>407.6913</v>
      </c>
    </row>
    <row r="93" spans="1:8" ht="12.75">
      <c r="A93" s="347"/>
      <c r="B93" s="483"/>
      <c r="C93" s="397"/>
      <c r="D93" s="398"/>
      <c r="E93" s="347"/>
      <c r="F93" s="347"/>
      <c r="G93" s="348"/>
      <c r="H93" s="403">
        <f>SUM(H89:H92)</f>
        <v>407.6913</v>
      </c>
    </row>
    <row r="94" spans="1:8" ht="25.5">
      <c r="A94" s="482"/>
      <c r="B94" s="487" t="s">
        <v>727</v>
      </c>
      <c r="C94" s="476"/>
      <c r="D94" s="392"/>
      <c r="E94" s="337"/>
      <c r="F94" s="337"/>
      <c r="G94" s="338"/>
      <c r="H94" s="358"/>
    </row>
    <row r="95" spans="1:8" ht="12.75">
      <c r="A95" s="347"/>
      <c r="B95" s="484" t="s">
        <v>719</v>
      </c>
      <c r="C95" s="397"/>
      <c r="D95" s="479"/>
      <c r="E95" s="347"/>
      <c r="F95" s="347"/>
      <c r="G95" s="408"/>
      <c r="H95" s="480"/>
    </row>
    <row r="96" spans="1:8" ht="12.75">
      <c r="A96" s="347"/>
      <c r="B96" s="399" t="s">
        <v>720</v>
      </c>
      <c r="C96" s="397"/>
      <c r="D96" s="479"/>
      <c r="E96" s="347"/>
      <c r="F96" s="347"/>
      <c r="G96" s="397"/>
      <c r="H96" s="480"/>
    </row>
    <row r="97" spans="1:8" ht="12.75">
      <c r="A97" s="347"/>
      <c r="B97" s="399" t="s">
        <v>721</v>
      </c>
      <c r="C97" s="397"/>
      <c r="D97" s="485"/>
      <c r="E97" s="347"/>
      <c r="F97" s="347"/>
      <c r="G97" s="397"/>
      <c r="H97" s="480"/>
    </row>
    <row r="98" spans="1:8" ht="12.75">
      <c r="A98" s="347"/>
      <c r="B98" s="399" t="s">
        <v>722</v>
      </c>
      <c r="C98" s="397" t="s">
        <v>129</v>
      </c>
      <c r="D98" s="134">
        <v>698.7089</v>
      </c>
      <c r="E98" s="347">
        <v>1</v>
      </c>
      <c r="F98" s="347">
        <v>1</v>
      </c>
      <c r="G98" s="397">
        <v>1</v>
      </c>
      <c r="H98" s="480">
        <f>PRODUCT(D98:G98)</f>
        <v>698.7089</v>
      </c>
    </row>
    <row r="99" spans="1:8" ht="12.75">
      <c r="A99" s="347"/>
      <c r="B99" s="481"/>
      <c r="C99" s="397"/>
      <c r="D99" s="398"/>
      <c r="E99" s="347"/>
      <c r="F99" s="347"/>
      <c r="G99" s="348"/>
      <c r="H99" s="403">
        <f>SUM(H98:H98)</f>
        <v>698.7089</v>
      </c>
    </row>
    <row r="100" spans="1:8" ht="63.75">
      <c r="A100" s="347"/>
      <c r="B100" s="468" t="s">
        <v>729</v>
      </c>
      <c r="C100" s="397" t="s">
        <v>129</v>
      </c>
      <c r="D100" s="134">
        <v>126.95205</v>
      </c>
      <c r="E100" s="347">
        <v>1</v>
      </c>
      <c r="F100" s="347">
        <v>1</v>
      </c>
      <c r="G100" s="397">
        <v>1</v>
      </c>
      <c r="H100" s="480">
        <f>PRODUCT(D100:G100)</f>
        <v>126.95205</v>
      </c>
    </row>
    <row r="101" spans="1:8" ht="12.75">
      <c r="A101" s="347"/>
      <c r="B101" s="481"/>
      <c r="C101" s="397"/>
      <c r="D101" s="398"/>
      <c r="E101" s="347"/>
      <c r="F101" s="347"/>
      <c r="G101" s="348"/>
      <c r="H101" s="403">
        <f>SUM(H100:H100)</f>
        <v>126.95205</v>
      </c>
    </row>
    <row r="102" spans="1:8" ht="63.75">
      <c r="A102" s="347"/>
      <c r="B102" s="468" t="s">
        <v>730</v>
      </c>
      <c r="C102" s="397" t="s">
        <v>129</v>
      </c>
      <c r="D102" s="134">
        <v>134.6036</v>
      </c>
      <c r="E102" s="347">
        <v>1</v>
      </c>
      <c r="F102" s="347">
        <v>1</v>
      </c>
      <c r="G102" s="397">
        <v>1</v>
      </c>
      <c r="H102" s="480">
        <f>PRODUCT(D102:G102)</f>
        <v>134.6036</v>
      </c>
    </row>
    <row r="103" spans="1:8" ht="12.75">
      <c r="A103" s="347"/>
      <c r="B103" s="468"/>
      <c r="C103" s="397"/>
      <c r="D103" s="398"/>
      <c r="E103" s="347"/>
      <c r="F103" s="347"/>
      <c r="G103" s="348"/>
      <c r="H103" s="403">
        <f>SUM(H102)</f>
        <v>134.6036</v>
      </c>
    </row>
    <row r="104" spans="1:8" ht="63.75">
      <c r="A104" s="347"/>
      <c r="B104" s="468" t="s">
        <v>731</v>
      </c>
      <c r="C104" s="397" t="s">
        <v>129</v>
      </c>
      <c r="D104" s="134">
        <v>657.50595</v>
      </c>
      <c r="E104" s="347">
        <v>1</v>
      </c>
      <c r="F104" s="347">
        <v>1</v>
      </c>
      <c r="G104" s="397">
        <v>1</v>
      </c>
      <c r="H104" s="480">
        <f>PRODUCT(D104:G104)</f>
        <v>657.50595</v>
      </c>
    </row>
    <row r="105" spans="1:8" ht="12.75">
      <c r="A105" s="347"/>
      <c r="B105" s="468"/>
      <c r="C105" s="397"/>
      <c r="D105" s="398"/>
      <c r="E105" s="347"/>
      <c r="F105" s="347"/>
      <c r="G105" s="348"/>
      <c r="H105" s="403">
        <f>SUM(H104)</f>
        <v>657.50595</v>
      </c>
    </row>
    <row r="106" spans="1:8" ht="63.75">
      <c r="A106" s="347"/>
      <c r="B106" s="468" t="s">
        <v>732</v>
      </c>
      <c r="C106" s="397" t="s">
        <v>129</v>
      </c>
      <c r="D106" s="134">
        <v>160.4736</v>
      </c>
      <c r="E106" s="347">
        <v>1</v>
      </c>
      <c r="F106" s="347">
        <v>1</v>
      </c>
      <c r="G106" s="397">
        <v>1</v>
      </c>
      <c r="H106" s="480">
        <f>PRODUCT(D106:G106)</f>
        <v>160.4736</v>
      </c>
    </row>
    <row r="107" spans="1:8" ht="12.75">
      <c r="A107" s="347"/>
      <c r="B107" s="468"/>
      <c r="C107" s="397"/>
      <c r="D107" s="134"/>
      <c r="E107" s="347"/>
      <c r="F107" s="347"/>
      <c r="G107" s="397"/>
      <c r="H107" s="520">
        <f>SUM(H106)</f>
        <v>160.4736</v>
      </c>
    </row>
    <row r="108" spans="1:8" ht="12.75">
      <c r="A108" s="395" t="s">
        <v>457</v>
      </c>
      <c r="B108" s="396"/>
      <c r="C108" s="397"/>
      <c r="D108" s="398"/>
      <c r="E108" s="398"/>
      <c r="F108" s="347"/>
      <c r="G108" s="348"/>
      <c r="H108" s="348"/>
    </row>
    <row r="109" spans="1:8" ht="25.5">
      <c r="A109" s="347"/>
      <c r="B109" s="399" t="s">
        <v>457</v>
      </c>
      <c r="C109" s="397" t="s">
        <v>293</v>
      </c>
      <c r="D109" s="398">
        <v>1151</v>
      </c>
      <c r="E109" s="347">
        <v>1</v>
      </c>
      <c r="F109" s="347">
        <v>1</v>
      </c>
      <c r="G109" s="400">
        <v>1</v>
      </c>
      <c r="H109" s="400">
        <f>D109*G109</f>
        <v>1151</v>
      </c>
    </row>
    <row r="110" spans="1:8" ht="12.75">
      <c r="A110" s="347"/>
      <c r="B110" s="399" t="s">
        <v>652</v>
      </c>
      <c r="C110" s="397" t="s">
        <v>293</v>
      </c>
      <c r="D110" s="398">
        <f>D149</f>
        <v>74.33999999999999</v>
      </c>
      <c r="E110" s="347">
        <v>1</v>
      </c>
      <c r="F110" s="347">
        <v>1</v>
      </c>
      <c r="G110" s="400">
        <v>2</v>
      </c>
      <c r="H110" s="400">
        <f aca="true" t="shared" si="1" ref="H110:H117">D110*G110</f>
        <v>148.67999999999998</v>
      </c>
    </row>
    <row r="111" spans="1:8" ht="12.75">
      <c r="A111" s="347"/>
      <c r="B111" s="401" t="s">
        <v>297</v>
      </c>
      <c r="C111" s="397" t="s">
        <v>293</v>
      </c>
      <c r="D111" s="398">
        <f>D150</f>
        <v>45</v>
      </c>
      <c r="E111" s="347">
        <v>1</v>
      </c>
      <c r="F111" s="347">
        <v>1</v>
      </c>
      <c r="G111" s="400">
        <v>1</v>
      </c>
      <c r="H111" s="400">
        <f t="shared" si="1"/>
        <v>45</v>
      </c>
    </row>
    <row r="112" spans="1:8" ht="12.75">
      <c r="A112" s="347"/>
      <c r="B112" s="399" t="s">
        <v>298</v>
      </c>
      <c r="C112" s="397" t="s">
        <v>293</v>
      </c>
      <c r="D112" s="398">
        <f>D151</f>
        <v>3.9294</v>
      </c>
      <c r="E112" s="347">
        <v>1</v>
      </c>
      <c r="F112" s="347">
        <v>1</v>
      </c>
      <c r="G112" s="400">
        <v>2</v>
      </c>
      <c r="H112" s="400">
        <f t="shared" si="1"/>
        <v>7.8588</v>
      </c>
    </row>
    <row r="113" spans="1:8" ht="12.75">
      <c r="A113" s="347"/>
      <c r="B113" s="399" t="s">
        <v>299</v>
      </c>
      <c r="C113" s="397" t="s">
        <v>121</v>
      </c>
      <c r="D113" s="398">
        <f>D152</f>
        <v>8.567499999999999</v>
      </c>
      <c r="E113" s="347">
        <v>1</v>
      </c>
      <c r="F113" s="347">
        <v>1</v>
      </c>
      <c r="G113" s="400">
        <v>22</v>
      </c>
      <c r="H113" s="400">
        <f t="shared" si="1"/>
        <v>188.48499999999999</v>
      </c>
    </row>
    <row r="114" spans="1:8" ht="12.75">
      <c r="A114" s="347"/>
      <c r="B114" s="399" t="s">
        <v>300</v>
      </c>
      <c r="C114" s="397" t="s">
        <v>121</v>
      </c>
      <c r="D114" s="398">
        <f>D153</f>
        <v>8.567499999999999</v>
      </c>
      <c r="E114" s="347">
        <v>1</v>
      </c>
      <c r="F114" s="347">
        <v>1</v>
      </c>
      <c r="G114" s="400">
        <v>22</v>
      </c>
      <c r="H114" s="400">
        <f t="shared" si="1"/>
        <v>188.48499999999999</v>
      </c>
    </row>
    <row r="115" spans="1:8" ht="32.25" customHeight="1">
      <c r="A115" s="347"/>
      <c r="B115" s="399" t="s">
        <v>302</v>
      </c>
      <c r="C115" s="397" t="s">
        <v>293</v>
      </c>
      <c r="D115" s="398">
        <f>D155</f>
        <v>12.8999</v>
      </c>
      <c r="E115" s="347">
        <v>1</v>
      </c>
      <c r="F115" s="347">
        <v>1</v>
      </c>
      <c r="G115" s="400">
        <v>2</v>
      </c>
      <c r="H115" s="400">
        <f t="shared" si="1"/>
        <v>25.7998</v>
      </c>
    </row>
    <row r="116" spans="1:8" ht="12.75">
      <c r="A116" s="347"/>
      <c r="B116" s="399" t="s">
        <v>303</v>
      </c>
      <c r="C116" s="397" t="s">
        <v>121</v>
      </c>
      <c r="D116" s="398">
        <f>D156</f>
        <v>1.5</v>
      </c>
      <c r="E116" s="347">
        <v>1</v>
      </c>
      <c r="F116" s="347">
        <v>1</v>
      </c>
      <c r="G116" s="400">
        <v>22</v>
      </c>
      <c r="H116" s="400">
        <f t="shared" si="1"/>
        <v>33</v>
      </c>
    </row>
    <row r="117" spans="1:8" ht="12.75">
      <c r="A117" s="347"/>
      <c r="B117" s="402" t="s">
        <v>294</v>
      </c>
      <c r="C117" s="388" t="s">
        <v>295</v>
      </c>
      <c r="D117" s="386">
        <v>350</v>
      </c>
      <c r="E117" s="337">
        <v>1</v>
      </c>
      <c r="F117" s="337">
        <v>1</v>
      </c>
      <c r="G117" s="358">
        <v>1</v>
      </c>
      <c r="H117" s="358">
        <f t="shared" si="1"/>
        <v>350</v>
      </c>
    </row>
    <row r="118" spans="1:8" ht="12.75">
      <c r="A118" s="347"/>
      <c r="B118" s="399"/>
      <c r="C118" s="397"/>
      <c r="D118" s="398"/>
      <c r="E118" s="347"/>
      <c r="F118" s="347"/>
      <c r="G118" s="400"/>
      <c r="H118" s="403">
        <f>SUM(H109:H117)</f>
        <v>2138.3086</v>
      </c>
    </row>
    <row r="119" spans="1:8" ht="63" customHeight="1">
      <c r="A119" s="702" t="s">
        <v>456</v>
      </c>
      <c r="B119" s="702"/>
      <c r="C119" s="397"/>
      <c r="D119" s="398"/>
      <c r="E119" s="398"/>
      <c r="F119" s="347"/>
      <c r="G119" s="348"/>
      <c r="H119" s="348"/>
    </row>
    <row r="120" spans="1:8" ht="25.5">
      <c r="A120" s="347"/>
      <c r="B120" s="399" t="s">
        <v>655</v>
      </c>
      <c r="C120" s="397" t="s">
        <v>293</v>
      </c>
      <c r="D120" s="398">
        <v>1160</v>
      </c>
      <c r="E120" s="347">
        <v>1</v>
      </c>
      <c r="F120" s="347">
        <v>1</v>
      </c>
      <c r="G120" s="400">
        <v>1</v>
      </c>
      <c r="H120" s="400">
        <f>D120*G120</f>
        <v>1160</v>
      </c>
    </row>
    <row r="121" spans="1:8" ht="12.75">
      <c r="A121" s="347"/>
      <c r="B121" s="399" t="s">
        <v>652</v>
      </c>
      <c r="C121" s="397" t="s">
        <v>293</v>
      </c>
      <c r="D121" s="398">
        <v>74.33999999999999</v>
      </c>
      <c r="E121" s="347">
        <v>1</v>
      </c>
      <c r="F121" s="347">
        <v>1</v>
      </c>
      <c r="G121" s="400">
        <v>2</v>
      </c>
      <c r="H121" s="400">
        <f aca="true" t="shared" si="2" ref="H121:H128">D121*G121</f>
        <v>148.67999999999998</v>
      </c>
    </row>
    <row r="122" spans="1:8" ht="12.75">
      <c r="A122" s="399"/>
      <c r="B122" s="401" t="s">
        <v>297</v>
      </c>
      <c r="C122" s="397" t="s">
        <v>293</v>
      </c>
      <c r="D122" s="398">
        <v>45</v>
      </c>
      <c r="E122" s="347">
        <v>1</v>
      </c>
      <c r="F122" s="347">
        <v>1</v>
      </c>
      <c r="G122" s="400">
        <v>1</v>
      </c>
      <c r="H122" s="400">
        <f t="shared" si="2"/>
        <v>45</v>
      </c>
    </row>
    <row r="123" spans="1:8" ht="12.75">
      <c r="A123" s="399"/>
      <c r="B123" s="399" t="s">
        <v>298</v>
      </c>
      <c r="C123" s="397" t="s">
        <v>293</v>
      </c>
      <c r="D123" s="398">
        <v>3.9294</v>
      </c>
      <c r="E123" s="347">
        <v>1</v>
      </c>
      <c r="F123" s="347">
        <v>1</v>
      </c>
      <c r="G123" s="400">
        <v>2</v>
      </c>
      <c r="H123" s="400">
        <f t="shared" si="2"/>
        <v>7.8588</v>
      </c>
    </row>
    <row r="124" spans="1:8" ht="12.75">
      <c r="A124" s="399"/>
      <c r="B124" s="399" t="s">
        <v>299</v>
      </c>
      <c r="C124" s="397" t="s">
        <v>121</v>
      </c>
      <c r="D124" s="398">
        <v>8.567499999999999</v>
      </c>
      <c r="E124" s="347">
        <v>1</v>
      </c>
      <c r="F124" s="347">
        <v>1</v>
      </c>
      <c r="G124" s="400">
        <v>22</v>
      </c>
      <c r="H124" s="400">
        <f t="shared" si="2"/>
        <v>188.48499999999999</v>
      </c>
    </row>
    <row r="125" spans="1:8" ht="12.75">
      <c r="A125" s="399"/>
      <c r="B125" s="399" t="s">
        <v>300</v>
      </c>
      <c r="C125" s="397" t="s">
        <v>121</v>
      </c>
      <c r="D125" s="398">
        <v>8.567499999999999</v>
      </c>
      <c r="E125" s="347">
        <v>1</v>
      </c>
      <c r="F125" s="347">
        <v>1</v>
      </c>
      <c r="G125" s="400">
        <v>22</v>
      </c>
      <c r="H125" s="400">
        <f t="shared" si="2"/>
        <v>188.48499999999999</v>
      </c>
    </row>
    <row r="126" spans="1:8" ht="12.75">
      <c r="A126" s="399"/>
      <c r="B126" s="399" t="s">
        <v>302</v>
      </c>
      <c r="C126" s="397" t="s">
        <v>293</v>
      </c>
      <c r="D126" s="398">
        <v>12.916367999999999</v>
      </c>
      <c r="E126" s="347">
        <v>1</v>
      </c>
      <c r="F126" s="347">
        <v>1</v>
      </c>
      <c r="G126" s="400">
        <v>2</v>
      </c>
      <c r="H126" s="400">
        <f t="shared" si="2"/>
        <v>25.832735999999997</v>
      </c>
    </row>
    <row r="127" spans="1:8" ht="12.75">
      <c r="A127" s="399"/>
      <c r="B127" s="399" t="s">
        <v>303</v>
      </c>
      <c r="C127" s="397" t="s">
        <v>121</v>
      </c>
      <c r="D127" s="398">
        <v>1.5</v>
      </c>
      <c r="E127" s="347">
        <v>1</v>
      </c>
      <c r="F127" s="347">
        <v>1</v>
      </c>
      <c r="G127" s="400">
        <v>22</v>
      </c>
      <c r="H127" s="400">
        <f t="shared" si="2"/>
        <v>33</v>
      </c>
    </row>
    <row r="128" spans="1:8" ht="12.75">
      <c r="A128" s="399"/>
      <c r="B128" s="402" t="s">
        <v>294</v>
      </c>
      <c r="C128" s="388" t="s">
        <v>295</v>
      </c>
      <c r="D128" s="386">
        <v>350</v>
      </c>
      <c r="E128" s="337">
        <v>1</v>
      </c>
      <c r="F128" s="337">
        <v>1</v>
      </c>
      <c r="G128" s="358">
        <v>1</v>
      </c>
      <c r="H128" s="358">
        <f t="shared" si="2"/>
        <v>350</v>
      </c>
    </row>
    <row r="129" spans="1:8" ht="12.75">
      <c r="A129" s="399"/>
      <c r="B129" s="408"/>
      <c r="C129" s="397"/>
      <c r="D129" s="398"/>
      <c r="E129" s="408"/>
      <c r="F129" s="409"/>
      <c r="G129" s="348"/>
      <c r="H129" s="410">
        <f>SUM(H120:H128)</f>
        <v>2147.341536</v>
      </c>
    </row>
    <row r="130" spans="1:8" ht="12.75">
      <c r="A130" s="337"/>
      <c r="B130" s="402"/>
      <c r="C130" s="388"/>
      <c r="D130" s="386"/>
      <c r="E130" s="337"/>
      <c r="F130" s="337"/>
      <c r="G130" s="358"/>
      <c r="H130" s="404"/>
    </row>
    <row r="131" spans="1:8" ht="12.75">
      <c r="A131" s="715" t="s">
        <v>455</v>
      </c>
      <c r="B131" s="715"/>
      <c r="C131" s="405"/>
      <c r="D131" s="344"/>
      <c r="E131" s="344"/>
      <c r="F131" s="344"/>
      <c r="G131" s="406"/>
      <c r="H131" s="404"/>
    </row>
    <row r="132" spans="1:8" ht="22.5" customHeight="1">
      <c r="A132" s="337"/>
      <c r="B132" s="344" t="s">
        <v>455</v>
      </c>
      <c r="C132" s="342" t="s">
        <v>653</v>
      </c>
      <c r="D132" s="359">
        <v>3500</v>
      </c>
      <c r="E132" s="337">
        <v>1</v>
      </c>
      <c r="F132" s="337">
        <v>1</v>
      </c>
      <c r="G132" s="407">
        <v>1</v>
      </c>
      <c r="H132" s="358">
        <f>D132*G132</f>
        <v>3500</v>
      </c>
    </row>
    <row r="133" spans="1:8" ht="12.75">
      <c r="A133" s="337"/>
      <c r="B133" s="344" t="s">
        <v>654</v>
      </c>
      <c r="C133" s="342" t="s">
        <v>295</v>
      </c>
      <c r="D133" s="359">
        <v>300</v>
      </c>
      <c r="E133" s="337">
        <v>1</v>
      </c>
      <c r="F133" s="337">
        <v>1</v>
      </c>
      <c r="G133" s="407">
        <v>1</v>
      </c>
      <c r="H133" s="358">
        <f>D133*G133</f>
        <v>300</v>
      </c>
    </row>
    <row r="134" spans="1:8" ht="12.75">
      <c r="A134" s="337"/>
      <c r="B134" s="344" t="s">
        <v>373</v>
      </c>
      <c r="C134" s="342" t="s">
        <v>295</v>
      </c>
      <c r="D134" s="359">
        <f>SUM(H132:H133)*0.3</f>
        <v>1140</v>
      </c>
      <c r="E134" s="337">
        <v>1</v>
      </c>
      <c r="F134" s="337">
        <v>1</v>
      </c>
      <c r="G134" s="407">
        <v>1</v>
      </c>
      <c r="H134" s="358">
        <f>D134*G134</f>
        <v>1140</v>
      </c>
    </row>
    <row r="135" spans="1:8" ht="12.75">
      <c r="A135" s="337"/>
      <c r="B135" s="402"/>
      <c r="C135" s="388"/>
      <c r="D135" s="386"/>
      <c r="E135" s="337"/>
      <c r="F135" s="337"/>
      <c r="G135" s="358"/>
      <c r="H135" s="404">
        <f>SUM(H132:H134)</f>
        <v>4940</v>
      </c>
    </row>
    <row r="136" spans="1:8" ht="42.75" customHeight="1">
      <c r="A136" s="716" t="s">
        <v>745</v>
      </c>
      <c r="B136" s="716"/>
      <c r="C136" s="397"/>
      <c r="D136" s="398"/>
      <c r="E136" s="398"/>
      <c r="F136" s="347"/>
      <c r="G136" s="348"/>
      <c r="H136" s="348"/>
    </row>
    <row r="137" spans="1:8" ht="25.5">
      <c r="A137" s="347"/>
      <c r="B137" s="399" t="s">
        <v>655</v>
      </c>
      <c r="C137" s="397" t="s">
        <v>293</v>
      </c>
      <c r="D137" s="398">
        <v>828</v>
      </c>
      <c r="E137" s="347">
        <v>1</v>
      </c>
      <c r="F137" s="347">
        <v>1</v>
      </c>
      <c r="G137" s="400">
        <v>1</v>
      </c>
      <c r="H137" s="400">
        <f>D137*G137</f>
        <v>828</v>
      </c>
    </row>
    <row r="138" spans="1:8" ht="12.75">
      <c r="A138" s="347"/>
      <c r="B138" s="399" t="s">
        <v>652</v>
      </c>
      <c r="C138" s="397" t="s">
        <v>293</v>
      </c>
      <c r="D138" s="398">
        <v>74.47</v>
      </c>
      <c r="E138" s="347">
        <v>1</v>
      </c>
      <c r="F138" s="347">
        <v>1</v>
      </c>
      <c r="G138" s="400">
        <v>2</v>
      </c>
      <c r="H138" s="400">
        <f aca="true" t="shared" si="3" ref="H138:H145">D138*G138</f>
        <v>148.94</v>
      </c>
    </row>
    <row r="139" spans="1:8" ht="12.75">
      <c r="A139" s="399"/>
      <c r="B139" s="401" t="s">
        <v>297</v>
      </c>
      <c r="C139" s="397" t="s">
        <v>293</v>
      </c>
      <c r="D139" s="398">
        <v>45</v>
      </c>
      <c r="E139" s="347">
        <v>1</v>
      </c>
      <c r="F139" s="347">
        <v>1</v>
      </c>
      <c r="G139" s="400">
        <v>1</v>
      </c>
      <c r="H139" s="400">
        <f t="shared" si="3"/>
        <v>45</v>
      </c>
    </row>
    <row r="140" spans="1:8" ht="12.75">
      <c r="A140" s="399"/>
      <c r="B140" s="399" t="s">
        <v>298</v>
      </c>
      <c r="C140" s="397" t="s">
        <v>293</v>
      </c>
      <c r="D140" s="398">
        <v>3.99</v>
      </c>
      <c r="E140" s="347">
        <v>1</v>
      </c>
      <c r="F140" s="347">
        <v>1</v>
      </c>
      <c r="G140" s="400">
        <v>2</v>
      </c>
      <c r="H140" s="400">
        <f t="shared" si="3"/>
        <v>7.98</v>
      </c>
    </row>
    <row r="141" spans="1:8" ht="12.75">
      <c r="A141" s="399"/>
      <c r="B141" s="399" t="s">
        <v>299</v>
      </c>
      <c r="C141" s="397" t="s">
        <v>121</v>
      </c>
      <c r="D141" s="398">
        <v>8.567499999999999</v>
      </c>
      <c r="E141" s="347">
        <v>1</v>
      </c>
      <c r="F141" s="347">
        <v>1</v>
      </c>
      <c r="G141" s="400">
        <v>22</v>
      </c>
      <c r="H141" s="400">
        <f t="shared" si="3"/>
        <v>188.48499999999999</v>
      </c>
    </row>
    <row r="142" spans="1:8" ht="12.75">
      <c r="A142" s="399"/>
      <c r="B142" s="399" t="s">
        <v>300</v>
      </c>
      <c r="C142" s="397" t="s">
        <v>121</v>
      </c>
      <c r="D142" s="398">
        <v>8.567499999999999</v>
      </c>
      <c r="E142" s="347">
        <v>1</v>
      </c>
      <c r="F142" s="347">
        <v>1</v>
      </c>
      <c r="G142" s="400">
        <v>22</v>
      </c>
      <c r="H142" s="400">
        <f t="shared" si="3"/>
        <v>188.48499999999999</v>
      </c>
    </row>
    <row r="143" spans="1:8" ht="12.75">
      <c r="A143" s="399"/>
      <c r="B143" s="399" t="s">
        <v>302</v>
      </c>
      <c r="C143" s="397" t="s">
        <v>293</v>
      </c>
      <c r="D143" s="398">
        <v>12.916367999999999</v>
      </c>
      <c r="E143" s="347">
        <v>1</v>
      </c>
      <c r="F143" s="347">
        <v>1</v>
      </c>
      <c r="G143" s="400">
        <v>2</v>
      </c>
      <c r="H143" s="400">
        <f t="shared" si="3"/>
        <v>25.832735999999997</v>
      </c>
    </row>
    <row r="144" spans="1:8" ht="12.75">
      <c r="A144" s="399"/>
      <c r="B144" s="399" t="s">
        <v>303</v>
      </c>
      <c r="C144" s="397" t="s">
        <v>121</v>
      </c>
      <c r="D144" s="398">
        <v>1.5</v>
      </c>
      <c r="E144" s="347">
        <v>1</v>
      </c>
      <c r="F144" s="347">
        <v>1</v>
      </c>
      <c r="G144" s="400">
        <v>22</v>
      </c>
      <c r="H144" s="400">
        <f t="shared" si="3"/>
        <v>33</v>
      </c>
    </row>
    <row r="145" spans="1:8" ht="12.75">
      <c r="A145" s="399"/>
      <c r="B145" s="402" t="s">
        <v>294</v>
      </c>
      <c r="C145" s="388" t="s">
        <v>295</v>
      </c>
      <c r="D145" s="386">
        <v>350</v>
      </c>
      <c r="E145" s="337">
        <v>1</v>
      </c>
      <c r="F145" s="337">
        <v>1</v>
      </c>
      <c r="G145" s="358">
        <v>1</v>
      </c>
      <c r="H145" s="358">
        <f t="shared" si="3"/>
        <v>350</v>
      </c>
    </row>
    <row r="146" spans="1:8" ht="12.75">
      <c r="A146" s="399"/>
      <c r="B146" s="408"/>
      <c r="C146" s="397"/>
      <c r="D146" s="398"/>
      <c r="E146" s="408"/>
      <c r="F146" s="409"/>
      <c r="G146" s="348"/>
      <c r="H146" s="410">
        <f>SUM(H137:H145)</f>
        <v>1815.722736</v>
      </c>
    </row>
    <row r="147" spans="1:10" ht="12.75">
      <c r="A147" s="399"/>
      <c r="B147" s="408"/>
      <c r="C147" s="397"/>
      <c r="D147" s="398"/>
      <c r="E147" s="408"/>
      <c r="F147" s="409"/>
      <c r="G147" s="348"/>
      <c r="H147" s="410"/>
      <c r="J147" s="411"/>
    </row>
    <row r="148" spans="1:10" ht="12.75">
      <c r="A148" s="395" t="s">
        <v>296</v>
      </c>
      <c r="B148" s="396"/>
      <c r="C148" s="397"/>
      <c r="D148" s="398"/>
      <c r="E148" s="398"/>
      <c r="F148" s="347"/>
      <c r="G148" s="348"/>
      <c r="H148" s="348"/>
      <c r="J148" s="411"/>
    </row>
    <row r="149" spans="1:10" ht="12.75">
      <c r="A149" s="347"/>
      <c r="B149" s="402" t="s">
        <v>306</v>
      </c>
      <c r="C149" s="397" t="s">
        <v>293</v>
      </c>
      <c r="D149" s="398">
        <v>74.33999999999999</v>
      </c>
      <c r="E149" s="347">
        <v>1</v>
      </c>
      <c r="F149" s="347">
        <v>1</v>
      </c>
      <c r="G149" s="400">
        <v>2</v>
      </c>
      <c r="H149" s="400">
        <f aca="true" t="shared" si="4" ref="H149:H157">D149*G149</f>
        <v>148.67999999999998</v>
      </c>
      <c r="J149" s="411"/>
    </row>
    <row r="150" spans="1:10" ht="12.75">
      <c r="A150" s="347"/>
      <c r="B150" s="401" t="s">
        <v>297</v>
      </c>
      <c r="C150" s="397" t="s">
        <v>293</v>
      </c>
      <c r="D150" s="398">
        <v>45</v>
      </c>
      <c r="E150" s="347">
        <v>1</v>
      </c>
      <c r="F150" s="347">
        <v>1</v>
      </c>
      <c r="G150" s="400">
        <v>1</v>
      </c>
      <c r="H150" s="400">
        <f t="shared" si="4"/>
        <v>45</v>
      </c>
      <c r="J150" s="411"/>
    </row>
    <row r="151" spans="1:8" ht="12.75">
      <c r="A151" s="347"/>
      <c r="B151" s="402" t="s">
        <v>307</v>
      </c>
      <c r="C151" s="397" t="s">
        <v>293</v>
      </c>
      <c r="D151" s="398">
        <v>3.9294</v>
      </c>
      <c r="E151" s="347">
        <v>1</v>
      </c>
      <c r="F151" s="347">
        <v>1</v>
      </c>
      <c r="G151" s="400">
        <v>2</v>
      </c>
      <c r="H151" s="400">
        <f t="shared" si="4"/>
        <v>7.8588</v>
      </c>
    </row>
    <row r="152" spans="1:8" ht="12.75">
      <c r="A152" s="347"/>
      <c r="B152" s="399" t="s">
        <v>299</v>
      </c>
      <c r="C152" s="397" t="s">
        <v>121</v>
      </c>
      <c r="D152" s="398">
        <v>8.567499999999999</v>
      </c>
      <c r="E152" s="347">
        <v>1</v>
      </c>
      <c r="F152" s="347">
        <v>1</v>
      </c>
      <c r="G152" s="400">
        <v>22</v>
      </c>
      <c r="H152" s="400">
        <f t="shared" si="4"/>
        <v>188.48499999999999</v>
      </c>
    </row>
    <row r="153" spans="1:8" ht="12.75">
      <c r="A153" s="347"/>
      <c r="B153" s="399" t="s">
        <v>300</v>
      </c>
      <c r="C153" s="397" t="s">
        <v>121</v>
      </c>
      <c r="D153" s="398">
        <v>8.567499999999999</v>
      </c>
      <c r="E153" s="347">
        <v>1</v>
      </c>
      <c r="F153" s="347">
        <v>1</v>
      </c>
      <c r="G153" s="400">
        <v>22</v>
      </c>
      <c r="H153" s="400">
        <f t="shared" si="4"/>
        <v>188.48499999999999</v>
      </c>
    </row>
    <row r="154" spans="1:8" ht="12.75">
      <c r="A154" s="347"/>
      <c r="B154" s="399" t="s">
        <v>301</v>
      </c>
      <c r="C154" s="397" t="s">
        <v>121</v>
      </c>
      <c r="D154" s="398">
        <v>22.56</v>
      </c>
      <c r="E154" s="347">
        <v>1</v>
      </c>
      <c r="F154" s="347">
        <v>1</v>
      </c>
      <c r="G154" s="400">
        <v>6.3</v>
      </c>
      <c r="H154" s="400">
        <f t="shared" si="4"/>
        <v>142.128</v>
      </c>
    </row>
    <row r="155" spans="1:8" ht="12.75">
      <c r="A155" s="347"/>
      <c r="B155" s="399" t="s">
        <v>302</v>
      </c>
      <c r="C155" s="397" t="s">
        <v>293</v>
      </c>
      <c r="D155" s="398">
        <v>12.8999</v>
      </c>
      <c r="E155" s="347">
        <v>1</v>
      </c>
      <c r="F155" s="347">
        <v>1</v>
      </c>
      <c r="G155" s="400">
        <v>2</v>
      </c>
      <c r="H155" s="400">
        <f t="shared" si="4"/>
        <v>25.7998</v>
      </c>
    </row>
    <row r="156" spans="1:8" ht="12.75">
      <c r="A156" s="347"/>
      <c r="B156" s="399" t="s">
        <v>303</v>
      </c>
      <c r="C156" s="397" t="s">
        <v>121</v>
      </c>
      <c r="D156" s="398">
        <v>1.5</v>
      </c>
      <c r="E156" s="347">
        <v>1</v>
      </c>
      <c r="F156" s="347">
        <v>1</v>
      </c>
      <c r="G156" s="400">
        <v>22</v>
      </c>
      <c r="H156" s="400">
        <f t="shared" si="4"/>
        <v>33</v>
      </c>
    </row>
    <row r="157" spans="1:8" ht="12.75">
      <c r="A157" s="337"/>
      <c r="B157" s="402" t="s">
        <v>294</v>
      </c>
      <c r="C157" s="388" t="s">
        <v>295</v>
      </c>
      <c r="D157" s="386">
        <v>350</v>
      </c>
      <c r="E157" s="337">
        <v>1</v>
      </c>
      <c r="F157" s="337">
        <v>1</v>
      </c>
      <c r="G157" s="358">
        <v>1</v>
      </c>
      <c r="H157" s="358">
        <f t="shared" si="4"/>
        <v>350</v>
      </c>
    </row>
    <row r="158" spans="1:8" ht="12.75">
      <c r="A158" s="337"/>
      <c r="B158" s="334"/>
      <c r="C158" s="335"/>
      <c r="D158" s="336"/>
      <c r="E158" s="337"/>
      <c r="F158" s="337"/>
      <c r="G158" s="338"/>
      <c r="H158" s="345">
        <f>SUM(H149:H157)</f>
        <v>1129.4366</v>
      </c>
    </row>
    <row r="159" spans="1:8" ht="12.75">
      <c r="A159" s="395" t="s">
        <v>305</v>
      </c>
      <c r="B159" s="412"/>
      <c r="C159" s="388"/>
      <c r="D159" s="386"/>
      <c r="E159" s="386"/>
      <c r="F159" s="337"/>
      <c r="G159" s="338"/>
      <c r="H159" s="338"/>
    </row>
    <row r="160" spans="1:8" ht="12.75">
      <c r="A160" s="337"/>
      <c r="B160" s="402" t="s">
        <v>306</v>
      </c>
      <c r="C160" s="388" t="s">
        <v>293</v>
      </c>
      <c r="D160" s="386">
        <f>D149</f>
        <v>74.33999999999999</v>
      </c>
      <c r="E160" s="337">
        <v>1</v>
      </c>
      <c r="F160" s="337">
        <v>1</v>
      </c>
      <c r="G160" s="358">
        <v>1</v>
      </c>
      <c r="H160" s="358">
        <f aca="true" t="shared" si="5" ref="H160:H167">D160*G160</f>
        <v>74.33999999999999</v>
      </c>
    </row>
    <row r="161" spans="1:8" ht="12.75">
      <c r="A161" s="337"/>
      <c r="B161" s="402" t="s">
        <v>307</v>
      </c>
      <c r="C161" s="388" t="s">
        <v>293</v>
      </c>
      <c r="D161" s="398">
        <v>3.91</v>
      </c>
      <c r="E161" s="337">
        <v>1</v>
      </c>
      <c r="F161" s="337">
        <v>1</v>
      </c>
      <c r="G161" s="358">
        <v>2</v>
      </c>
      <c r="H161" s="358">
        <f t="shared" si="5"/>
        <v>7.82</v>
      </c>
    </row>
    <row r="162" spans="1:8" ht="12.75">
      <c r="A162" s="337"/>
      <c r="B162" s="402" t="s">
        <v>308</v>
      </c>
      <c r="C162" s="388" t="s">
        <v>293</v>
      </c>
      <c r="D162" s="386">
        <f>(30.47)*1.18</f>
        <v>35.9546</v>
      </c>
      <c r="E162" s="337">
        <v>1</v>
      </c>
      <c r="F162" s="337">
        <v>1</v>
      </c>
      <c r="G162" s="358">
        <v>1</v>
      </c>
      <c r="H162" s="358">
        <f t="shared" si="5"/>
        <v>35.9546</v>
      </c>
    </row>
    <row r="163" spans="1:8" ht="12.75">
      <c r="A163" s="337"/>
      <c r="B163" s="402" t="s">
        <v>309</v>
      </c>
      <c r="C163" s="388" t="s">
        <v>121</v>
      </c>
      <c r="D163" s="386">
        <f>D152</f>
        <v>8.567499999999999</v>
      </c>
      <c r="E163" s="337">
        <v>1</v>
      </c>
      <c r="F163" s="337">
        <v>1</v>
      </c>
      <c r="G163" s="358">
        <v>20</v>
      </c>
      <c r="H163" s="358">
        <f t="shared" si="5"/>
        <v>171.34999999999997</v>
      </c>
    </row>
    <row r="164" spans="1:8" ht="12.75">
      <c r="A164" s="337"/>
      <c r="B164" s="402" t="s">
        <v>299</v>
      </c>
      <c r="C164" s="388" t="s">
        <v>121</v>
      </c>
      <c r="D164" s="386">
        <f>D153</f>
        <v>8.567499999999999</v>
      </c>
      <c r="E164" s="337">
        <v>1</v>
      </c>
      <c r="F164" s="337">
        <v>1</v>
      </c>
      <c r="G164" s="358">
        <v>20</v>
      </c>
      <c r="H164" s="358">
        <f t="shared" si="5"/>
        <v>171.34999999999997</v>
      </c>
    </row>
    <row r="165" spans="1:8" ht="12.75">
      <c r="A165" s="337"/>
      <c r="B165" s="402" t="s">
        <v>310</v>
      </c>
      <c r="C165" s="413" t="s">
        <v>293</v>
      </c>
      <c r="D165" s="386">
        <f>(54.94)*1.18</f>
        <v>64.8292</v>
      </c>
      <c r="E165" s="337">
        <v>1</v>
      </c>
      <c r="F165" s="337">
        <v>1</v>
      </c>
      <c r="G165" s="358">
        <v>1</v>
      </c>
      <c r="H165" s="358">
        <f t="shared" si="5"/>
        <v>64.8292</v>
      </c>
    </row>
    <row r="166" spans="1:8" ht="12.75">
      <c r="A166" s="337"/>
      <c r="B166" s="337" t="s">
        <v>303</v>
      </c>
      <c r="C166" s="335" t="s">
        <v>121</v>
      </c>
      <c r="D166" s="367">
        <f>D156</f>
        <v>1.5</v>
      </c>
      <c r="E166" s="337">
        <v>1</v>
      </c>
      <c r="F166" s="337">
        <v>1</v>
      </c>
      <c r="G166" s="358">
        <v>20</v>
      </c>
      <c r="H166" s="358">
        <f t="shared" si="5"/>
        <v>30</v>
      </c>
    </row>
    <row r="167" spans="1:8" ht="12.75">
      <c r="A167" s="337"/>
      <c r="B167" s="402" t="s">
        <v>294</v>
      </c>
      <c r="C167" s="388" t="s">
        <v>295</v>
      </c>
      <c r="D167" s="386">
        <v>300</v>
      </c>
      <c r="E167" s="337">
        <v>1</v>
      </c>
      <c r="F167" s="337">
        <v>1</v>
      </c>
      <c r="G167" s="358">
        <v>1</v>
      </c>
      <c r="H167" s="358">
        <f t="shared" si="5"/>
        <v>300</v>
      </c>
    </row>
    <row r="168" spans="1:8" ht="12.75">
      <c r="A168" s="402"/>
      <c r="B168" s="414"/>
      <c r="C168" s="388"/>
      <c r="D168" s="386"/>
      <c r="E168" s="414"/>
      <c r="F168" s="388"/>
      <c r="G168" s="338"/>
      <c r="H168" s="345">
        <f>SUM(H160:H167)</f>
        <v>855.6437999999999</v>
      </c>
    </row>
    <row r="169" spans="1:8" ht="12.75">
      <c r="A169" s="395" t="s">
        <v>733</v>
      </c>
      <c r="B169" s="412"/>
      <c r="C169" s="388"/>
      <c r="D169" s="386"/>
      <c r="E169" s="386"/>
      <c r="F169" s="340"/>
      <c r="G169" s="338"/>
      <c r="H169" s="338"/>
    </row>
    <row r="170" spans="1:8" ht="12.75">
      <c r="A170" s="340"/>
      <c r="B170" s="402" t="s">
        <v>306</v>
      </c>
      <c r="C170" s="388" t="s">
        <v>293</v>
      </c>
      <c r="D170" s="386">
        <f>D160</f>
        <v>74.33999999999999</v>
      </c>
      <c r="E170" s="337">
        <v>1</v>
      </c>
      <c r="F170" s="337">
        <v>1</v>
      </c>
      <c r="G170" s="358">
        <v>2</v>
      </c>
      <c r="H170" s="358">
        <f aca="true" t="shared" si="6" ref="H170:H177">D170*G170</f>
        <v>148.67999999999998</v>
      </c>
    </row>
    <row r="171" spans="1:8" ht="12.75">
      <c r="A171" s="340"/>
      <c r="B171" s="402" t="s">
        <v>307</v>
      </c>
      <c r="C171" s="388" t="s">
        <v>293</v>
      </c>
      <c r="D171" s="386">
        <f>(3.33)*1.18</f>
        <v>3.9294</v>
      </c>
      <c r="E171" s="337">
        <v>1</v>
      </c>
      <c r="F171" s="337">
        <v>1</v>
      </c>
      <c r="G171" s="358">
        <v>1</v>
      </c>
      <c r="H171" s="358">
        <f t="shared" si="6"/>
        <v>3.9294</v>
      </c>
    </row>
    <row r="172" spans="1:8" ht="12.75">
      <c r="A172" s="340"/>
      <c r="B172" s="402" t="s">
        <v>308</v>
      </c>
      <c r="C172" s="388" t="s">
        <v>293</v>
      </c>
      <c r="D172" s="386">
        <f>D162</f>
        <v>35.9546</v>
      </c>
      <c r="E172" s="337">
        <v>1</v>
      </c>
      <c r="F172" s="337">
        <v>1</v>
      </c>
      <c r="G172" s="358">
        <v>1</v>
      </c>
      <c r="H172" s="358">
        <f t="shared" si="6"/>
        <v>35.9546</v>
      </c>
    </row>
    <row r="173" spans="1:8" ht="12.75">
      <c r="A173" s="340"/>
      <c r="B173" s="402" t="s">
        <v>734</v>
      </c>
      <c r="C173" s="388" t="s">
        <v>121</v>
      </c>
      <c r="D173" s="386">
        <f>D163</f>
        <v>8.567499999999999</v>
      </c>
      <c r="E173" s="337">
        <v>1</v>
      </c>
      <c r="F173" s="337">
        <v>1</v>
      </c>
      <c r="G173" s="358">
        <v>30</v>
      </c>
      <c r="H173" s="358">
        <f t="shared" si="6"/>
        <v>257.025</v>
      </c>
    </row>
    <row r="174" spans="1:8" ht="12.75">
      <c r="A174" s="340"/>
      <c r="B174" s="402" t="s">
        <v>299</v>
      </c>
      <c r="C174" s="388" t="s">
        <v>121</v>
      </c>
      <c r="D174" s="386">
        <f>D164</f>
        <v>8.567499999999999</v>
      </c>
      <c r="E174" s="337">
        <v>1</v>
      </c>
      <c r="F174" s="337">
        <v>1</v>
      </c>
      <c r="G174" s="358">
        <v>20</v>
      </c>
      <c r="H174" s="358">
        <f t="shared" si="6"/>
        <v>171.34999999999997</v>
      </c>
    </row>
    <row r="175" spans="1:8" ht="12.75">
      <c r="A175" s="340"/>
      <c r="B175" s="402" t="s">
        <v>318</v>
      </c>
      <c r="C175" s="413" t="s">
        <v>293</v>
      </c>
      <c r="D175" s="386">
        <f>(101.55)*1.18</f>
        <v>119.829</v>
      </c>
      <c r="E175" s="337">
        <v>1</v>
      </c>
      <c r="F175" s="337">
        <v>1</v>
      </c>
      <c r="G175" s="358">
        <v>2</v>
      </c>
      <c r="H175" s="358">
        <f t="shared" si="6"/>
        <v>239.658</v>
      </c>
    </row>
    <row r="176" spans="1:8" ht="12.75">
      <c r="A176" s="340"/>
      <c r="B176" s="337" t="s">
        <v>303</v>
      </c>
      <c r="C176" s="335" t="s">
        <v>121</v>
      </c>
      <c r="D176" s="367">
        <f>D166</f>
        <v>1.5</v>
      </c>
      <c r="E176" s="337">
        <v>1</v>
      </c>
      <c r="F176" s="337">
        <v>1</v>
      </c>
      <c r="G176" s="358">
        <v>20</v>
      </c>
      <c r="H176" s="358">
        <f t="shared" si="6"/>
        <v>30</v>
      </c>
    </row>
    <row r="177" spans="1:8" ht="12.75">
      <c r="A177" s="340"/>
      <c r="B177" s="402" t="s">
        <v>294</v>
      </c>
      <c r="C177" s="388" t="s">
        <v>293</v>
      </c>
      <c r="D177" s="386">
        <v>350</v>
      </c>
      <c r="E177" s="337">
        <v>1</v>
      </c>
      <c r="F177" s="337">
        <v>1</v>
      </c>
      <c r="G177" s="358">
        <v>1</v>
      </c>
      <c r="H177" s="358">
        <f t="shared" si="6"/>
        <v>350</v>
      </c>
    </row>
    <row r="178" spans="1:8" ht="12.75">
      <c r="A178" s="402"/>
      <c r="B178" s="414"/>
      <c r="C178" s="413"/>
      <c r="D178" s="386"/>
      <c r="E178" s="414"/>
      <c r="F178" s="415"/>
      <c r="G178" s="338"/>
      <c r="H178" s="345">
        <f>SUM(H170:H177)</f>
        <v>1236.5969999999998</v>
      </c>
    </row>
    <row r="179" spans="1:8" ht="13.5">
      <c r="A179" s="416" t="s">
        <v>311</v>
      </c>
      <c r="B179" s="412"/>
      <c r="C179" s="388"/>
      <c r="D179" s="386"/>
      <c r="E179" s="386"/>
      <c r="F179" s="337"/>
      <c r="G179" s="338"/>
      <c r="H179" s="338"/>
    </row>
    <row r="180" spans="1:8" ht="12.75">
      <c r="A180" s="417"/>
      <c r="B180" s="418" t="s">
        <v>312</v>
      </c>
      <c r="C180" s="388" t="s">
        <v>293</v>
      </c>
      <c r="D180" s="386">
        <f>D172</f>
        <v>35.9546</v>
      </c>
      <c r="E180" s="337">
        <v>1</v>
      </c>
      <c r="F180" s="337">
        <v>1</v>
      </c>
      <c r="G180" s="358">
        <v>1</v>
      </c>
      <c r="H180" s="480">
        <f aca="true" t="shared" si="7" ref="H180:H188">PRODUCT(D180:G180)</f>
        <v>35.9546</v>
      </c>
    </row>
    <row r="181" spans="1:8" ht="12.75">
      <c r="A181" s="417"/>
      <c r="B181" s="402" t="s">
        <v>306</v>
      </c>
      <c r="C181" s="388" t="s">
        <v>293</v>
      </c>
      <c r="D181" s="386">
        <f>(62.97)*1.18</f>
        <v>74.3046</v>
      </c>
      <c r="E181" s="337">
        <v>1</v>
      </c>
      <c r="F181" s="337">
        <v>1</v>
      </c>
      <c r="G181" s="358">
        <v>1.5</v>
      </c>
      <c r="H181" s="480">
        <f t="shared" si="7"/>
        <v>111.45689999999999</v>
      </c>
    </row>
    <row r="182" spans="1:8" ht="12.75">
      <c r="A182" s="417"/>
      <c r="B182" s="402" t="s">
        <v>307</v>
      </c>
      <c r="C182" s="388" t="s">
        <v>293</v>
      </c>
      <c r="D182" s="386">
        <f>D171</f>
        <v>3.9294</v>
      </c>
      <c r="E182" s="337">
        <v>1</v>
      </c>
      <c r="F182" s="337">
        <v>1</v>
      </c>
      <c r="G182" s="358">
        <v>2</v>
      </c>
      <c r="H182" s="480">
        <f t="shared" si="7"/>
        <v>7.8588</v>
      </c>
    </row>
    <row r="183" spans="1:8" ht="12.75">
      <c r="A183" s="417"/>
      <c r="B183" s="402" t="s">
        <v>313</v>
      </c>
      <c r="C183" s="388" t="s">
        <v>121</v>
      </c>
      <c r="D183" s="386">
        <f>D173</f>
        <v>8.567499999999999</v>
      </c>
      <c r="E183" s="337">
        <v>1</v>
      </c>
      <c r="F183" s="337">
        <v>1</v>
      </c>
      <c r="G183" s="358">
        <v>30</v>
      </c>
      <c r="H183" s="480">
        <f t="shared" si="7"/>
        <v>257.025</v>
      </c>
    </row>
    <row r="184" spans="1:8" ht="12.75">
      <c r="A184" s="417"/>
      <c r="B184" s="402" t="s">
        <v>314</v>
      </c>
      <c r="C184" s="388" t="s">
        <v>121</v>
      </c>
      <c r="D184" s="386">
        <f>D174</f>
        <v>8.567499999999999</v>
      </c>
      <c r="E184" s="337">
        <v>1</v>
      </c>
      <c r="F184" s="337">
        <v>1</v>
      </c>
      <c r="G184" s="358">
        <v>30</v>
      </c>
      <c r="H184" s="480">
        <f t="shared" si="7"/>
        <v>257.025</v>
      </c>
    </row>
    <row r="185" spans="1:8" ht="12.75">
      <c r="A185" s="417"/>
      <c r="B185" s="419" t="s">
        <v>315</v>
      </c>
      <c r="C185" s="388" t="s">
        <v>293</v>
      </c>
      <c r="D185" s="386">
        <f>(85.25)*1.18</f>
        <v>100.595</v>
      </c>
      <c r="E185" s="337">
        <v>1</v>
      </c>
      <c r="F185" s="337">
        <v>1</v>
      </c>
      <c r="G185" s="358">
        <v>1</v>
      </c>
      <c r="H185" s="480">
        <f t="shared" si="7"/>
        <v>100.595</v>
      </c>
    </row>
    <row r="186" spans="1:8" ht="12.75">
      <c r="A186" s="417"/>
      <c r="B186" s="419" t="s">
        <v>316</v>
      </c>
      <c r="C186" s="335" t="s">
        <v>121</v>
      </c>
      <c r="D186" s="367">
        <f>D176</f>
        <v>1.5</v>
      </c>
      <c r="E186" s="337">
        <v>1</v>
      </c>
      <c r="F186" s="337">
        <v>1</v>
      </c>
      <c r="G186" s="358">
        <v>30</v>
      </c>
      <c r="H186" s="480">
        <f t="shared" si="7"/>
        <v>45</v>
      </c>
    </row>
    <row r="187" spans="1:8" ht="12.75">
      <c r="A187" s="417"/>
      <c r="B187" s="419" t="s">
        <v>304</v>
      </c>
      <c r="C187" s="420" t="s">
        <v>317</v>
      </c>
      <c r="D187" s="386">
        <f>SUM(H180:H186)*5%</f>
        <v>40.745765000000006</v>
      </c>
      <c r="E187" s="337">
        <v>1</v>
      </c>
      <c r="F187" s="337">
        <v>1</v>
      </c>
      <c r="G187" s="358">
        <v>1</v>
      </c>
      <c r="H187" s="480">
        <f t="shared" si="7"/>
        <v>40.745765000000006</v>
      </c>
    </row>
    <row r="188" spans="1:8" ht="12.75">
      <c r="A188" s="337"/>
      <c r="B188" s="402" t="s">
        <v>294</v>
      </c>
      <c r="C188" s="388" t="s">
        <v>293</v>
      </c>
      <c r="D188" s="386">
        <v>385</v>
      </c>
      <c r="E188" s="337">
        <v>1</v>
      </c>
      <c r="F188" s="337">
        <v>1</v>
      </c>
      <c r="G188" s="358">
        <v>1</v>
      </c>
      <c r="H188" s="480">
        <f t="shared" si="7"/>
        <v>385</v>
      </c>
    </row>
    <row r="189" spans="1:8" ht="12.75">
      <c r="A189" s="337"/>
      <c r="B189" s="334"/>
      <c r="C189" s="335"/>
      <c r="D189" s="336"/>
      <c r="E189" s="337"/>
      <c r="F189" s="337"/>
      <c r="G189" s="338"/>
      <c r="H189" s="345">
        <f>SUM(H180:H188)</f>
        <v>1240.661065</v>
      </c>
    </row>
    <row r="190" spans="1:8" ht="12.75">
      <c r="A190" s="707" t="s">
        <v>735</v>
      </c>
      <c r="B190" s="708"/>
      <c r="C190" s="413"/>
      <c r="D190" s="386"/>
      <c r="E190" s="421"/>
      <c r="F190" s="337"/>
      <c r="G190" s="338"/>
      <c r="H190" s="338"/>
    </row>
    <row r="191" spans="1:8" ht="12.75">
      <c r="A191" s="417"/>
      <c r="B191" s="422" t="s">
        <v>319</v>
      </c>
      <c r="C191" s="413" t="s">
        <v>293</v>
      </c>
      <c r="D191" s="386">
        <f>D180</f>
        <v>35.9546</v>
      </c>
      <c r="E191" s="337">
        <v>1</v>
      </c>
      <c r="F191" s="337">
        <v>1</v>
      </c>
      <c r="G191" s="358">
        <v>1</v>
      </c>
      <c r="H191" s="358">
        <f aca="true" t="shared" si="8" ref="H191:H198">D191*G191</f>
        <v>35.9546</v>
      </c>
    </row>
    <row r="192" spans="1:8" ht="12.75">
      <c r="A192" s="417"/>
      <c r="B192" s="419" t="s">
        <v>320</v>
      </c>
      <c r="C192" s="413" t="s">
        <v>293</v>
      </c>
      <c r="D192" s="386">
        <f>(89)*1.18</f>
        <v>105.02</v>
      </c>
      <c r="E192" s="337">
        <v>1</v>
      </c>
      <c r="F192" s="337">
        <v>1</v>
      </c>
      <c r="G192" s="358">
        <v>1</v>
      </c>
      <c r="H192" s="358">
        <f t="shared" si="8"/>
        <v>105.02</v>
      </c>
    </row>
    <row r="193" spans="1:8" ht="12.75">
      <c r="A193" s="417"/>
      <c r="B193" s="419" t="s">
        <v>321</v>
      </c>
      <c r="C193" s="413" t="s">
        <v>293</v>
      </c>
      <c r="D193" s="386">
        <f>(6.24)*1.18</f>
        <v>7.3632</v>
      </c>
      <c r="E193" s="337">
        <v>1</v>
      </c>
      <c r="F193" s="337">
        <v>1</v>
      </c>
      <c r="G193" s="358">
        <v>1</v>
      </c>
      <c r="H193" s="358">
        <f t="shared" si="8"/>
        <v>7.3632</v>
      </c>
    </row>
    <row r="194" spans="1:8" ht="12.75">
      <c r="A194" s="347"/>
      <c r="B194" s="419" t="s">
        <v>322</v>
      </c>
      <c r="C194" s="413" t="s">
        <v>293</v>
      </c>
      <c r="D194" s="386">
        <f>320.315*1.18</f>
        <v>377.9717</v>
      </c>
      <c r="E194" s="337">
        <v>1</v>
      </c>
      <c r="F194" s="337">
        <v>1</v>
      </c>
      <c r="G194" s="358">
        <v>1</v>
      </c>
      <c r="H194" s="358">
        <f t="shared" si="8"/>
        <v>377.9717</v>
      </c>
    </row>
    <row r="195" spans="1:8" ht="12.75">
      <c r="A195" s="347"/>
      <c r="B195" s="402" t="s">
        <v>323</v>
      </c>
      <c r="C195" s="388" t="s">
        <v>293</v>
      </c>
      <c r="D195" s="386">
        <f>50.18*1.18</f>
        <v>59.212399999999995</v>
      </c>
      <c r="E195" s="337">
        <v>1</v>
      </c>
      <c r="F195" s="337">
        <v>1</v>
      </c>
      <c r="G195" s="358">
        <v>1</v>
      </c>
      <c r="H195" s="358">
        <f t="shared" si="8"/>
        <v>59.212399999999995</v>
      </c>
    </row>
    <row r="196" spans="1:8" ht="12.75">
      <c r="A196" s="347"/>
      <c r="B196" s="419" t="s">
        <v>304</v>
      </c>
      <c r="C196" s="420" t="s">
        <v>317</v>
      </c>
      <c r="D196" s="386">
        <f>SUM(H191:H195)*5%</f>
        <v>29.276095000000005</v>
      </c>
      <c r="E196" s="337">
        <v>1</v>
      </c>
      <c r="F196" s="337">
        <v>1</v>
      </c>
      <c r="G196" s="358">
        <v>1</v>
      </c>
      <c r="H196" s="358">
        <f t="shared" si="8"/>
        <v>29.276095000000005</v>
      </c>
    </row>
    <row r="197" spans="1:8" ht="12.75">
      <c r="A197" s="347"/>
      <c r="B197" s="422" t="s">
        <v>324</v>
      </c>
      <c r="C197" s="413" t="s">
        <v>121</v>
      </c>
      <c r="D197" s="386">
        <f>D186</f>
        <v>1.5</v>
      </c>
      <c r="E197" s="337">
        <v>1</v>
      </c>
      <c r="F197" s="337">
        <v>1</v>
      </c>
      <c r="G197" s="358">
        <v>30</v>
      </c>
      <c r="H197" s="358">
        <f t="shared" si="8"/>
        <v>45</v>
      </c>
    </row>
    <row r="198" spans="1:8" ht="12.75">
      <c r="A198" s="347"/>
      <c r="B198" s="402" t="s">
        <v>294</v>
      </c>
      <c r="C198" s="423" t="s">
        <v>317</v>
      </c>
      <c r="D198" s="386">
        <v>750</v>
      </c>
      <c r="E198" s="337">
        <v>1</v>
      </c>
      <c r="F198" s="337">
        <v>1</v>
      </c>
      <c r="G198" s="358">
        <v>1</v>
      </c>
      <c r="H198" s="358">
        <f t="shared" si="8"/>
        <v>750</v>
      </c>
    </row>
    <row r="199" spans="1:8" ht="12.75">
      <c r="A199" s="347"/>
      <c r="B199" s="334"/>
      <c r="C199" s="335"/>
      <c r="D199" s="336"/>
      <c r="E199" s="337"/>
      <c r="F199" s="337"/>
      <c r="G199" s="338"/>
      <c r="H199" s="345">
        <f>SUM(H191:H198)</f>
        <v>1409.7979950000001</v>
      </c>
    </row>
    <row r="200" spans="1:8" ht="12.75">
      <c r="A200" s="698" t="s">
        <v>736</v>
      </c>
      <c r="B200" s="699"/>
      <c r="C200" s="413"/>
      <c r="D200" s="386"/>
      <c r="E200" s="421"/>
      <c r="F200" s="337"/>
      <c r="G200" s="338"/>
      <c r="H200" s="338"/>
    </row>
    <row r="201" spans="1:8" ht="12.75">
      <c r="A201" s="417"/>
      <c r="B201" s="422" t="s">
        <v>319</v>
      </c>
      <c r="C201" s="413" t="s">
        <v>293</v>
      </c>
      <c r="D201" s="386">
        <f>D191</f>
        <v>35.9546</v>
      </c>
      <c r="E201" s="337">
        <v>1</v>
      </c>
      <c r="F201" s="337">
        <v>1</v>
      </c>
      <c r="G201" s="358">
        <v>1</v>
      </c>
      <c r="H201" s="358">
        <f aca="true" t="shared" si="9" ref="H201:H207">D201*G201</f>
        <v>35.9546</v>
      </c>
    </row>
    <row r="202" spans="1:8" ht="12.75">
      <c r="A202" s="417"/>
      <c r="B202" s="419" t="s">
        <v>320</v>
      </c>
      <c r="C202" s="413" t="s">
        <v>293</v>
      </c>
      <c r="D202" s="386">
        <f>D192</f>
        <v>105.02</v>
      </c>
      <c r="E202" s="337">
        <v>1</v>
      </c>
      <c r="F202" s="337">
        <v>1</v>
      </c>
      <c r="G202" s="358">
        <v>1</v>
      </c>
      <c r="H202" s="358">
        <f t="shared" si="9"/>
        <v>105.02</v>
      </c>
    </row>
    <row r="203" spans="1:8" ht="12.75">
      <c r="A203" s="417"/>
      <c r="B203" s="419" t="s">
        <v>321</v>
      </c>
      <c r="C203" s="413" t="s">
        <v>293</v>
      </c>
      <c r="D203" s="386">
        <f>D193</f>
        <v>7.3632</v>
      </c>
      <c r="E203" s="337">
        <v>1</v>
      </c>
      <c r="F203" s="337">
        <v>1</v>
      </c>
      <c r="G203" s="358">
        <v>1</v>
      </c>
      <c r="H203" s="358">
        <f t="shared" si="9"/>
        <v>7.3632</v>
      </c>
    </row>
    <row r="204" spans="1:9" ht="12.75">
      <c r="A204" s="347"/>
      <c r="B204" s="402" t="s">
        <v>323</v>
      </c>
      <c r="C204" s="388" t="s">
        <v>293</v>
      </c>
      <c r="D204" s="386">
        <f>D195</f>
        <v>59.212399999999995</v>
      </c>
      <c r="E204" s="337">
        <v>1</v>
      </c>
      <c r="F204" s="337">
        <v>1</v>
      </c>
      <c r="G204" s="358">
        <v>1</v>
      </c>
      <c r="H204" s="358">
        <f t="shared" si="9"/>
        <v>59.212399999999995</v>
      </c>
      <c r="I204" s="424"/>
    </row>
    <row r="205" spans="1:8" ht="12.75">
      <c r="A205" s="347"/>
      <c r="B205" s="419" t="s">
        <v>304</v>
      </c>
      <c r="C205" s="420" t="s">
        <v>317</v>
      </c>
      <c r="D205" s="386">
        <f>D196</f>
        <v>29.276095000000005</v>
      </c>
      <c r="E205" s="337">
        <v>1</v>
      </c>
      <c r="F205" s="337">
        <v>1</v>
      </c>
      <c r="G205" s="358">
        <v>1</v>
      </c>
      <c r="H205" s="358">
        <f t="shared" si="9"/>
        <v>29.276095000000005</v>
      </c>
    </row>
    <row r="206" spans="1:8" ht="12.75">
      <c r="A206" s="347"/>
      <c r="B206" s="422" t="s">
        <v>324</v>
      </c>
      <c r="C206" s="413" t="s">
        <v>121</v>
      </c>
      <c r="D206" s="386">
        <f>D197</f>
        <v>1.5</v>
      </c>
      <c r="E206" s="337">
        <v>1</v>
      </c>
      <c r="F206" s="337">
        <v>1</v>
      </c>
      <c r="G206" s="358">
        <v>45</v>
      </c>
      <c r="H206" s="358">
        <f t="shared" si="9"/>
        <v>67.5</v>
      </c>
    </row>
    <row r="207" spans="1:9" ht="12.75">
      <c r="A207" s="347"/>
      <c r="B207" s="402" t="s">
        <v>294</v>
      </c>
      <c r="C207" s="423" t="s">
        <v>317</v>
      </c>
      <c r="D207" s="386">
        <v>331.67</v>
      </c>
      <c r="E207" s="337">
        <v>1</v>
      </c>
      <c r="F207" s="337">
        <v>1</v>
      </c>
      <c r="G207" s="358">
        <v>1</v>
      </c>
      <c r="H207" s="358">
        <f t="shared" si="9"/>
        <v>331.67</v>
      </c>
      <c r="I207" s="431"/>
    </row>
    <row r="208" spans="1:9" ht="12.75">
      <c r="A208" s="347"/>
      <c r="B208" s="334"/>
      <c r="C208" s="335"/>
      <c r="D208" s="336"/>
      <c r="E208" s="337"/>
      <c r="F208" s="337"/>
      <c r="G208" s="338"/>
      <c r="H208" s="345">
        <f>SUM(H201:H207)</f>
        <v>635.996295</v>
      </c>
      <c r="I208" s="432"/>
    </row>
    <row r="209" spans="1:9" ht="57" customHeight="1">
      <c r="A209" s="703" t="s">
        <v>751</v>
      </c>
      <c r="B209" s="704"/>
      <c r="C209" s="425"/>
      <c r="D209" s="426"/>
      <c r="E209" s="427"/>
      <c r="F209" s="425"/>
      <c r="G209" s="338"/>
      <c r="H209" s="338"/>
      <c r="I209" s="432"/>
    </row>
    <row r="210" spans="1:9" ht="12.75">
      <c r="A210" s="417"/>
      <c r="B210" s="428" t="s">
        <v>746</v>
      </c>
      <c r="C210" s="429"/>
      <c r="D210" s="377"/>
      <c r="E210" s="430"/>
      <c r="F210" s="430"/>
      <c r="G210" s="379"/>
      <c r="H210" s="379"/>
      <c r="I210" s="432"/>
    </row>
    <row r="211" spans="1:9" ht="12.75">
      <c r="A211" s="417"/>
      <c r="B211" s="428" t="s">
        <v>747</v>
      </c>
      <c r="C211" s="429"/>
      <c r="D211" s="377"/>
      <c r="E211" s="430"/>
      <c r="F211" s="430"/>
      <c r="G211" s="379"/>
      <c r="H211" s="379"/>
      <c r="I211" s="432"/>
    </row>
    <row r="212" spans="1:9" ht="12.75">
      <c r="A212" s="417"/>
      <c r="B212" s="428" t="s">
        <v>748</v>
      </c>
      <c r="C212" s="429"/>
      <c r="D212" s="377"/>
      <c r="E212" s="430"/>
      <c r="F212" s="430"/>
      <c r="G212" s="379"/>
      <c r="H212" s="379"/>
      <c r="I212" s="432"/>
    </row>
    <row r="213" spans="1:9" ht="12.75">
      <c r="A213" s="417"/>
      <c r="B213" s="428" t="s">
        <v>749</v>
      </c>
      <c r="C213" s="429"/>
      <c r="D213" s="377"/>
      <c r="E213" s="430"/>
      <c r="F213" s="430"/>
      <c r="G213" s="379"/>
      <c r="H213" s="379"/>
      <c r="I213" s="432"/>
    </row>
    <row r="214" spans="1:9" ht="12.75">
      <c r="A214" s="417"/>
      <c r="B214" s="428" t="s">
        <v>750</v>
      </c>
      <c r="C214" s="429" t="s">
        <v>293</v>
      </c>
      <c r="D214" s="377">
        <v>16417.5</v>
      </c>
      <c r="E214" s="430">
        <v>1</v>
      </c>
      <c r="F214" s="430">
        <v>1</v>
      </c>
      <c r="G214" s="379">
        <v>1</v>
      </c>
      <c r="H214" s="379">
        <f>D214*G214</f>
        <v>16417.5</v>
      </c>
      <c r="I214" s="432"/>
    </row>
    <row r="215" spans="1:11" ht="12.75">
      <c r="A215" s="417"/>
      <c r="B215" s="393" t="s">
        <v>294</v>
      </c>
      <c r="C215" s="394" t="s">
        <v>295</v>
      </c>
      <c r="D215" s="377">
        <f>SUM(H210:H214)*20%</f>
        <v>3283.5</v>
      </c>
      <c r="E215" s="430">
        <v>1</v>
      </c>
      <c r="F215" s="430">
        <v>1</v>
      </c>
      <c r="G215" s="378">
        <v>1</v>
      </c>
      <c r="H215" s="379">
        <f>D215*G215</f>
        <v>3283.5</v>
      </c>
      <c r="I215" s="432"/>
      <c r="K215" s="438"/>
    </row>
    <row r="216" spans="1:11" ht="12.75">
      <c r="A216" s="417"/>
      <c r="B216" s="337"/>
      <c r="C216" s="335"/>
      <c r="D216" s="336"/>
      <c r="E216" s="337"/>
      <c r="F216" s="337"/>
      <c r="G216" s="357"/>
      <c r="H216" s="433">
        <f>SUM(H210:H215)</f>
        <v>19701</v>
      </c>
      <c r="I216" s="432"/>
      <c r="K216" s="438"/>
    </row>
    <row r="217" spans="1:11" ht="12.75">
      <c r="A217" s="353" t="s">
        <v>458</v>
      </c>
      <c r="B217" s="434"/>
      <c r="C217" s="435"/>
      <c r="D217" s="436"/>
      <c r="E217" s="437"/>
      <c r="F217" s="344"/>
      <c r="G217" s="352"/>
      <c r="H217" s="354"/>
      <c r="I217" s="432"/>
      <c r="K217" s="438"/>
    </row>
    <row r="218" spans="1:11" ht="12.75">
      <c r="A218" s="344"/>
      <c r="B218" s="349" t="s">
        <v>752</v>
      </c>
      <c r="C218" s="350" t="s">
        <v>15</v>
      </c>
      <c r="D218" s="351">
        <v>2487.5</v>
      </c>
      <c r="E218" s="430">
        <v>1</v>
      </c>
      <c r="F218" s="430">
        <v>1</v>
      </c>
      <c r="G218" s="378">
        <v>1</v>
      </c>
      <c r="H218" s="379">
        <f>PRODUCT(D218:G218)</f>
        <v>2487.5</v>
      </c>
      <c r="I218" s="432"/>
      <c r="K218" s="438"/>
    </row>
    <row r="219" spans="1:11" ht="12.75">
      <c r="A219" s="344"/>
      <c r="B219" s="349"/>
      <c r="C219" s="350"/>
      <c r="D219" s="351"/>
      <c r="E219" s="430"/>
      <c r="F219" s="430"/>
      <c r="G219" s="352"/>
      <c r="H219" s="439">
        <f>SUM(H218)</f>
        <v>2487.5</v>
      </c>
      <c r="I219" s="432"/>
      <c r="K219" s="438"/>
    </row>
    <row r="220" spans="1:11" ht="28.5" customHeight="1">
      <c r="A220" s="705" t="s">
        <v>459</v>
      </c>
      <c r="B220" s="706"/>
      <c r="C220" s="350"/>
      <c r="D220" s="386"/>
      <c r="E220" s="430"/>
      <c r="F220" s="430"/>
      <c r="G220" s="352"/>
      <c r="H220" s="379"/>
      <c r="K220" s="438"/>
    </row>
    <row r="221" spans="1:11" ht="12.75">
      <c r="A221" s="344"/>
      <c r="B221" s="349" t="s">
        <v>753</v>
      </c>
      <c r="C221" s="350" t="s">
        <v>15</v>
      </c>
      <c r="D221" s="351">
        <v>16193.3</v>
      </c>
      <c r="E221" s="430">
        <v>1</v>
      </c>
      <c r="F221" s="430">
        <v>1</v>
      </c>
      <c r="G221" s="352">
        <v>1</v>
      </c>
      <c r="H221" s="379">
        <f>D221*G221</f>
        <v>16193.3</v>
      </c>
      <c r="K221" s="438"/>
    </row>
    <row r="222" spans="1:11" ht="12.75">
      <c r="A222" s="344"/>
      <c r="B222" s="341" t="s">
        <v>375</v>
      </c>
      <c r="C222" s="342" t="s">
        <v>21</v>
      </c>
      <c r="D222" s="346">
        <f>SUM(H221)*0.15</f>
        <v>2428.995</v>
      </c>
      <c r="E222" s="430">
        <v>1</v>
      </c>
      <c r="F222" s="430">
        <v>1</v>
      </c>
      <c r="G222" s="352">
        <v>1</v>
      </c>
      <c r="H222" s="379">
        <f>D222*G222</f>
        <v>2428.995</v>
      </c>
      <c r="K222" s="438"/>
    </row>
    <row r="223" spans="1:11" ht="12.75">
      <c r="A223" s="344"/>
      <c r="B223" s="341"/>
      <c r="C223" s="342"/>
      <c r="D223" s="346"/>
      <c r="E223" s="344"/>
      <c r="F223" s="344"/>
      <c r="G223" s="354"/>
      <c r="H223" s="360">
        <f>SUM(H221:H222)</f>
        <v>18622.295</v>
      </c>
      <c r="K223" s="438"/>
    </row>
    <row r="224" spans="1:11" ht="12.75">
      <c r="A224" s="344"/>
      <c r="B224" s="349" t="s">
        <v>468</v>
      </c>
      <c r="C224" s="350" t="s">
        <v>656</v>
      </c>
      <c r="D224" s="351">
        <v>134.5</v>
      </c>
      <c r="E224" s="430">
        <v>1</v>
      </c>
      <c r="F224" s="430">
        <v>1</v>
      </c>
      <c r="G224" s="352">
        <v>1</v>
      </c>
      <c r="H224" s="379">
        <f>D224*G224</f>
        <v>134.5</v>
      </c>
      <c r="K224" s="438"/>
    </row>
    <row r="225" spans="1:11" ht="12.75">
      <c r="A225" s="344"/>
      <c r="B225" s="341" t="s">
        <v>375</v>
      </c>
      <c r="C225" s="342" t="s">
        <v>21</v>
      </c>
      <c r="D225" s="346">
        <f>SUM(H224)*0.15</f>
        <v>20.175</v>
      </c>
      <c r="E225" s="430">
        <v>1</v>
      </c>
      <c r="F225" s="430">
        <v>1</v>
      </c>
      <c r="G225" s="352">
        <v>1</v>
      </c>
      <c r="H225" s="379">
        <f>D225*G225</f>
        <v>20.175</v>
      </c>
      <c r="K225" s="438"/>
    </row>
    <row r="226" spans="1:11" ht="12.75">
      <c r="A226" s="344"/>
      <c r="B226" s="341"/>
      <c r="C226" s="342"/>
      <c r="D226" s="346"/>
      <c r="E226" s="344"/>
      <c r="F226" s="344"/>
      <c r="G226" s="354"/>
      <c r="H226" s="360">
        <f>SUM(H224:H225)</f>
        <v>154.675</v>
      </c>
      <c r="K226" s="438"/>
    </row>
    <row r="227" spans="1:11" ht="12.75">
      <c r="A227" s="353" t="s">
        <v>448</v>
      </c>
      <c r="B227" s="341"/>
      <c r="C227" s="342"/>
      <c r="D227" s="346"/>
      <c r="E227" s="344"/>
      <c r="F227" s="344"/>
      <c r="G227" s="354"/>
      <c r="H227" s="354"/>
      <c r="K227" s="438"/>
    </row>
    <row r="228" spans="1:11" ht="12.75">
      <c r="A228" s="344"/>
      <c r="B228" s="349" t="s">
        <v>468</v>
      </c>
      <c r="C228" s="350" t="s">
        <v>656</v>
      </c>
      <c r="D228" s="351">
        <v>24.75</v>
      </c>
      <c r="E228" s="430">
        <v>1</v>
      </c>
      <c r="F228" s="430">
        <v>1</v>
      </c>
      <c r="G228" s="352">
        <v>1</v>
      </c>
      <c r="H228" s="379">
        <f>D228*G228</f>
        <v>24.75</v>
      </c>
      <c r="K228" s="438"/>
    </row>
    <row r="229" spans="1:8" ht="12.75">
      <c r="A229" s="344"/>
      <c r="B229" s="341" t="s">
        <v>375</v>
      </c>
      <c r="C229" s="342" t="s">
        <v>21</v>
      </c>
      <c r="D229" s="346">
        <f>SUM(H228)*0.15</f>
        <v>3.7125</v>
      </c>
      <c r="E229" s="430">
        <v>1</v>
      </c>
      <c r="F229" s="430">
        <v>1</v>
      </c>
      <c r="G229" s="352">
        <v>1</v>
      </c>
      <c r="H229" s="379">
        <f>D229*G229</f>
        <v>3.7125</v>
      </c>
    </row>
    <row r="230" spans="1:8" ht="12.75">
      <c r="A230" s="344"/>
      <c r="B230" s="341"/>
      <c r="C230" s="342"/>
      <c r="D230" s="346"/>
      <c r="E230" s="344"/>
      <c r="F230" s="344"/>
      <c r="G230" s="354"/>
      <c r="H230" s="360">
        <f>SUM(H228:H229)</f>
        <v>28.4625</v>
      </c>
    </row>
    <row r="231" spans="1:8" ht="12.75">
      <c r="A231" s="353" t="s">
        <v>449</v>
      </c>
      <c r="B231" s="341"/>
      <c r="C231" s="342"/>
      <c r="D231" s="346"/>
      <c r="E231" s="344"/>
      <c r="F231" s="344"/>
      <c r="G231" s="354"/>
      <c r="H231" s="354"/>
    </row>
    <row r="232" spans="1:8" ht="12.75">
      <c r="A232" s="344"/>
      <c r="B232" s="349" t="s">
        <v>468</v>
      </c>
      <c r="C232" s="350" t="s">
        <v>656</v>
      </c>
      <c r="D232" s="351">
        <v>330.1</v>
      </c>
      <c r="E232" s="430">
        <v>1</v>
      </c>
      <c r="F232" s="430">
        <v>1</v>
      </c>
      <c r="G232" s="352">
        <v>1</v>
      </c>
      <c r="H232" s="379">
        <f>D232*G232</f>
        <v>330.1</v>
      </c>
    </row>
    <row r="233" spans="1:8" ht="12.75">
      <c r="A233" s="344"/>
      <c r="B233" s="341" t="s">
        <v>375</v>
      </c>
      <c r="C233" s="342" t="s">
        <v>21</v>
      </c>
      <c r="D233" s="346">
        <f>SUM(H232)*0.15</f>
        <v>49.515</v>
      </c>
      <c r="E233" s="430">
        <v>1</v>
      </c>
      <c r="F233" s="430">
        <v>1</v>
      </c>
      <c r="G233" s="352">
        <v>1</v>
      </c>
      <c r="H233" s="379">
        <f>D233*G233</f>
        <v>49.515</v>
      </c>
    </row>
    <row r="234" spans="1:8" ht="12.75">
      <c r="A234" s="344"/>
      <c r="B234" s="341"/>
      <c r="C234" s="342"/>
      <c r="D234" s="346"/>
      <c r="E234" s="344"/>
      <c r="F234" s="344"/>
      <c r="G234" s="354"/>
      <c r="H234" s="360">
        <f>SUM(H232:H233)</f>
        <v>379.615</v>
      </c>
    </row>
    <row r="235" spans="1:8" ht="12.75">
      <c r="A235" s="353" t="s">
        <v>450</v>
      </c>
      <c r="B235" s="341"/>
      <c r="C235" s="342"/>
      <c r="D235" s="346"/>
      <c r="E235" s="344"/>
      <c r="F235" s="344"/>
      <c r="G235" s="354"/>
      <c r="H235" s="354"/>
    </row>
    <row r="236" spans="1:8" ht="12.75">
      <c r="A236" s="344"/>
      <c r="B236" s="349" t="s">
        <v>468</v>
      </c>
      <c r="C236" s="350" t="s">
        <v>656</v>
      </c>
      <c r="D236" s="351">
        <v>158.598</v>
      </c>
      <c r="E236" s="430">
        <v>1</v>
      </c>
      <c r="F236" s="430">
        <v>1</v>
      </c>
      <c r="G236" s="352">
        <v>1</v>
      </c>
      <c r="H236" s="379">
        <f>D236*G236</f>
        <v>158.598</v>
      </c>
    </row>
    <row r="237" spans="1:8" ht="12.75">
      <c r="A237" s="344"/>
      <c r="B237" s="341" t="s">
        <v>375</v>
      </c>
      <c r="C237" s="342" t="s">
        <v>21</v>
      </c>
      <c r="D237" s="346">
        <f>SUM(H236)*0.15</f>
        <v>23.7897</v>
      </c>
      <c r="E237" s="430">
        <v>1</v>
      </c>
      <c r="F237" s="430">
        <v>1</v>
      </c>
      <c r="G237" s="352">
        <v>1</v>
      </c>
      <c r="H237" s="379">
        <f>D237*G237</f>
        <v>23.7897</v>
      </c>
    </row>
    <row r="238" spans="1:8" ht="12.75">
      <c r="A238" s="344"/>
      <c r="B238" s="341"/>
      <c r="C238" s="342"/>
      <c r="D238" s="346"/>
      <c r="E238" s="344"/>
      <c r="F238" s="344"/>
      <c r="G238" s="354"/>
      <c r="H238" s="360">
        <f>SUM(H236:H237)</f>
        <v>182.38770000000002</v>
      </c>
    </row>
    <row r="239" spans="1:10" s="444" customFormat="1" ht="12.75">
      <c r="A239" s="700" t="s">
        <v>451</v>
      </c>
      <c r="B239" s="701"/>
      <c r="C239" s="342"/>
      <c r="D239" s="346"/>
      <c r="E239" s="344"/>
      <c r="F239" s="344"/>
      <c r="G239" s="354"/>
      <c r="H239" s="354"/>
      <c r="J239" s="445"/>
    </row>
    <row r="240" spans="1:8" ht="12.75">
      <c r="A240" s="344"/>
      <c r="B240" s="349" t="s">
        <v>468</v>
      </c>
      <c r="C240" s="350" t="s">
        <v>656</v>
      </c>
      <c r="D240" s="351">
        <v>36.63</v>
      </c>
      <c r="E240" s="430">
        <v>1</v>
      </c>
      <c r="F240" s="430">
        <v>1</v>
      </c>
      <c r="G240" s="352">
        <v>1</v>
      </c>
      <c r="H240" s="379">
        <f>D240*G240</f>
        <v>36.63</v>
      </c>
    </row>
    <row r="241" spans="1:8" ht="12.75">
      <c r="A241" s="344"/>
      <c r="B241" s="341" t="s">
        <v>375</v>
      </c>
      <c r="C241" s="342" t="s">
        <v>21</v>
      </c>
      <c r="D241" s="346">
        <f>SUM(H240)*0.15</f>
        <v>5.4945</v>
      </c>
      <c r="E241" s="430">
        <v>1</v>
      </c>
      <c r="F241" s="430">
        <v>1</v>
      </c>
      <c r="G241" s="352">
        <v>1</v>
      </c>
      <c r="H241" s="379">
        <f>D241*G241</f>
        <v>5.4945</v>
      </c>
    </row>
    <row r="242" spans="1:8" ht="12.75">
      <c r="A242" s="344"/>
      <c r="B242" s="341"/>
      <c r="C242" s="342"/>
      <c r="D242" s="346"/>
      <c r="E242" s="344"/>
      <c r="F242" s="344"/>
      <c r="G242" s="354"/>
      <c r="H242" s="360">
        <f>SUM(H240:H241)</f>
        <v>42.124500000000005</v>
      </c>
    </row>
    <row r="243" spans="1:8" ht="12.75">
      <c r="A243" s="700" t="s">
        <v>452</v>
      </c>
      <c r="B243" s="701"/>
      <c r="C243" s="342"/>
      <c r="D243" s="346"/>
      <c r="E243" s="344"/>
      <c r="F243" s="344"/>
      <c r="G243" s="354"/>
      <c r="H243" s="354"/>
    </row>
    <row r="244" spans="1:8" ht="12.75">
      <c r="A244" s="344"/>
      <c r="B244" s="349" t="s">
        <v>468</v>
      </c>
      <c r="C244" s="350" t="s">
        <v>656</v>
      </c>
      <c r="D244" s="351">
        <v>215.398</v>
      </c>
      <c r="E244" s="430">
        <v>1</v>
      </c>
      <c r="F244" s="430">
        <v>1</v>
      </c>
      <c r="G244" s="352">
        <v>1</v>
      </c>
      <c r="H244" s="379">
        <f>D244*G244</f>
        <v>215.398</v>
      </c>
    </row>
    <row r="245" spans="1:8" ht="12.75">
      <c r="A245" s="344"/>
      <c r="B245" s="341" t="s">
        <v>375</v>
      </c>
      <c r="C245" s="342" t="s">
        <v>21</v>
      </c>
      <c r="D245" s="346">
        <f>SUM(H244)*0.15</f>
        <v>32.3097</v>
      </c>
      <c r="E245" s="430">
        <v>1</v>
      </c>
      <c r="F245" s="430">
        <v>1</v>
      </c>
      <c r="G245" s="352">
        <v>1</v>
      </c>
      <c r="H245" s="379">
        <f>D245*G245</f>
        <v>32.3097</v>
      </c>
    </row>
    <row r="246" spans="1:8" ht="12.75">
      <c r="A246" s="344"/>
      <c r="B246" s="341"/>
      <c r="C246" s="342"/>
      <c r="D246" s="346"/>
      <c r="E246" s="344"/>
      <c r="F246" s="344"/>
      <c r="G246" s="354"/>
      <c r="H246" s="360">
        <f>SUM(H244:H245)</f>
        <v>247.7077</v>
      </c>
    </row>
    <row r="247" spans="1:8" ht="12.75">
      <c r="A247" s="494" t="s">
        <v>453</v>
      </c>
      <c r="B247" s="495"/>
      <c r="C247" s="496"/>
      <c r="D247" s="497"/>
      <c r="E247" s="424"/>
      <c r="F247" s="424"/>
      <c r="G247" s="498"/>
      <c r="H247" s="498"/>
    </row>
    <row r="248" spans="1:8" ht="12.75">
      <c r="A248" s="161"/>
      <c r="B248" s="21" t="s">
        <v>204</v>
      </c>
      <c r="C248" s="22" t="s">
        <v>7</v>
      </c>
      <c r="D248" s="23">
        <v>414.59</v>
      </c>
      <c r="E248" s="24">
        <v>1</v>
      </c>
      <c r="F248" s="29">
        <v>1</v>
      </c>
      <c r="G248" s="25">
        <f>G250*1.2</f>
        <v>1.2</v>
      </c>
      <c r="H248" s="23">
        <f aca="true" t="shared" si="10" ref="H248:H254">PRODUCT(D248:G248)</f>
        <v>497.5079999999999</v>
      </c>
    </row>
    <row r="249" spans="1:8" ht="12.75">
      <c r="A249" s="161"/>
      <c r="B249" s="21" t="s">
        <v>47</v>
      </c>
      <c r="C249" s="22" t="s">
        <v>39</v>
      </c>
      <c r="D249" s="23">
        <v>2135</v>
      </c>
      <c r="E249" s="24">
        <v>1</v>
      </c>
      <c r="F249" s="29">
        <v>1.05</v>
      </c>
      <c r="G249" s="25">
        <v>0.09</v>
      </c>
      <c r="H249" s="23">
        <f t="shared" si="10"/>
        <v>201.7575</v>
      </c>
    </row>
    <row r="250" spans="1:8" ht="12.75">
      <c r="A250" s="161"/>
      <c r="B250" s="21" t="s">
        <v>649</v>
      </c>
      <c r="C250" s="22" t="s">
        <v>15</v>
      </c>
      <c r="D250" s="23">
        <v>739.3789</v>
      </c>
      <c r="E250" s="24">
        <v>1</v>
      </c>
      <c r="F250" s="29">
        <v>1</v>
      </c>
      <c r="G250" s="25">
        <v>1</v>
      </c>
      <c r="H250" s="23">
        <f t="shared" si="10"/>
        <v>739.3789</v>
      </c>
    </row>
    <row r="251" spans="1:8" ht="12.75">
      <c r="A251" s="161"/>
      <c r="B251" s="21" t="s">
        <v>205</v>
      </c>
      <c r="C251" s="22" t="s">
        <v>7</v>
      </c>
      <c r="D251" s="23">
        <v>422.88</v>
      </c>
      <c r="E251" s="24">
        <v>1</v>
      </c>
      <c r="F251" s="29">
        <v>1</v>
      </c>
      <c r="G251" s="25">
        <f>1*1*1</f>
        <v>1</v>
      </c>
      <c r="H251" s="23">
        <f t="shared" si="10"/>
        <v>422.88</v>
      </c>
    </row>
    <row r="252" spans="1:8" ht="12.75">
      <c r="A252" s="161"/>
      <c r="B252" s="21" t="s">
        <v>68</v>
      </c>
      <c r="C252" s="22" t="s">
        <v>7</v>
      </c>
      <c r="D252" s="23">
        <v>3159.8192999999997</v>
      </c>
      <c r="E252" s="24">
        <v>1</v>
      </c>
      <c r="F252" s="29">
        <v>1.05</v>
      </c>
      <c r="G252" s="25">
        <f>0.6*0.6*0.1</f>
        <v>0.036</v>
      </c>
      <c r="H252" s="23">
        <f t="shared" si="10"/>
        <v>119.44116953999998</v>
      </c>
    </row>
    <row r="253" spans="1:8" ht="12.75">
      <c r="A253" s="161"/>
      <c r="B253" s="21" t="s">
        <v>84</v>
      </c>
      <c r="C253" s="22" t="s">
        <v>7</v>
      </c>
      <c r="D253" s="23">
        <v>7018.594737118644</v>
      </c>
      <c r="E253" s="24">
        <v>1</v>
      </c>
      <c r="F253" s="29">
        <v>1.05</v>
      </c>
      <c r="G253" s="25">
        <f>0.015*3.45</f>
        <v>0.05175</v>
      </c>
      <c r="H253" s="23">
        <f t="shared" si="10"/>
        <v>381.3728915281843</v>
      </c>
    </row>
    <row r="254" spans="1:8" ht="12.75">
      <c r="A254" s="161"/>
      <c r="B254" s="21" t="s">
        <v>648</v>
      </c>
      <c r="C254" s="22" t="s">
        <v>8</v>
      </c>
      <c r="D254" s="23">
        <v>895.63</v>
      </c>
      <c r="E254" s="24">
        <v>1</v>
      </c>
      <c r="F254" s="29">
        <v>1</v>
      </c>
      <c r="G254" s="25">
        <f>2.4*0.6</f>
        <v>1.44</v>
      </c>
      <c r="H254" s="23">
        <f t="shared" si="10"/>
        <v>1289.7072</v>
      </c>
    </row>
    <row r="255" spans="1:8" ht="12.75">
      <c r="A255" s="161"/>
      <c r="B255" s="21"/>
      <c r="C255" s="22"/>
      <c r="D255" s="23"/>
      <c r="E255" s="24"/>
      <c r="F255" s="29"/>
      <c r="G255" s="25"/>
      <c r="H255" s="174">
        <f>SUM(H248:H254)</f>
        <v>3652.045661068185</v>
      </c>
    </row>
    <row r="256" spans="1:8" ht="12.75">
      <c r="A256" s="700" t="s">
        <v>454</v>
      </c>
      <c r="B256" s="701"/>
      <c r="C256" s="342"/>
      <c r="D256" s="346"/>
      <c r="E256" s="344"/>
      <c r="F256" s="344"/>
      <c r="G256" s="354"/>
      <c r="H256" s="354"/>
    </row>
    <row r="257" spans="1:8" ht="12.75">
      <c r="A257" s="344"/>
      <c r="B257" s="349" t="s">
        <v>468</v>
      </c>
      <c r="C257" s="350" t="s">
        <v>656</v>
      </c>
      <c r="D257" s="351">
        <v>130.38</v>
      </c>
      <c r="E257" s="430">
        <v>1</v>
      </c>
      <c r="F257" s="430">
        <v>1</v>
      </c>
      <c r="G257" s="352">
        <v>1</v>
      </c>
      <c r="H257" s="379">
        <f>D257*G257</f>
        <v>130.38</v>
      </c>
    </row>
    <row r="258" spans="1:8" ht="12.75">
      <c r="A258" s="344"/>
      <c r="B258" s="341" t="s">
        <v>375</v>
      </c>
      <c r="C258" s="342" t="s">
        <v>21</v>
      </c>
      <c r="D258" s="346">
        <f>SUM(H257)*0.15</f>
        <v>19.557</v>
      </c>
      <c r="E258" s="430">
        <v>1</v>
      </c>
      <c r="F258" s="430">
        <v>1</v>
      </c>
      <c r="G258" s="352">
        <v>1</v>
      </c>
      <c r="H258" s="379">
        <f>D258*G258</f>
        <v>19.557</v>
      </c>
    </row>
    <row r="259" spans="1:8" ht="12.75">
      <c r="A259" s="344"/>
      <c r="B259" s="341"/>
      <c r="C259" s="342"/>
      <c r="D259" s="346"/>
      <c r="E259" s="344"/>
      <c r="F259" s="344"/>
      <c r="G259" s="354"/>
      <c r="H259" s="360">
        <f>SUM(H257:H258)</f>
        <v>149.93699999999998</v>
      </c>
    </row>
    <row r="261" spans="1:8" ht="12.75">
      <c r="A261" s="353" t="s">
        <v>657</v>
      </c>
      <c r="B261" s="341"/>
      <c r="C261" s="342"/>
      <c r="D261" s="346"/>
      <c r="E261" s="344"/>
      <c r="F261" s="344"/>
      <c r="G261" s="354"/>
      <c r="H261" s="354"/>
    </row>
    <row r="262" spans="1:8" ht="12.75" customHeight="1">
      <c r="A262" s="344"/>
      <c r="B262" s="349" t="s">
        <v>658</v>
      </c>
      <c r="C262" s="350" t="s">
        <v>15</v>
      </c>
      <c r="D262" s="351">
        <v>800</v>
      </c>
      <c r="E262" s="430">
        <v>1</v>
      </c>
      <c r="F262" s="430">
        <v>1</v>
      </c>
      <c r="G262" s="352">
        <v>1</v>
      </c>
      <c r="H262" s="379">
        <f>D262*G262</f>
        <v>800</v>
      </c>
    </row>
    <row r="263" spans="1:8" ht="12.75">
      <c r="A263" s="344"/>
      <c r="B263" s="349" t="s">
        <v>659</v>
      </c>
      <c r="C263" s="350" t="s">
        <v>15</v>
      </c>
      <c r="D263" s="351">
        <v>5197.5</v>
      </c>
      <c r="E263" s="430">
        <v>1</v>
      </c>
      <c r="F263" s="430">
        <v>1</v>
      </c>
      <c r="G263" s="352">
        <v>1</v>
      </c>
      <c r="H263" s="379">
        <f>D263*G263</f>
        <v>5197.5</v>
      </c>
    </row>
    <row r="264" spans="1:8" ht="12.75">
      <c r="A264" s="344"/>
      <c r="B264" s="341" t="s">
        <v>375</v>
      </c>
      <c r="C264" s="342" t="s">
        <v>21</v>
      </c>
      <c r="D264" s="346">
        <f>SUM(H262:H263)*0.25</f>
        <v>1499.375</v>
      </c>
      <c r="E264" s="430">
        <v>1</v>
      </c>
      <c r="F264" s="430">
        <v>1</v>
      </c>
      <c r="G264" s="352">
        <v>1</v>
      </c>
      <c r="H264" s="379">
        <f>D264*G264</f>
        <v>1499.375</v>
      </c>
    </row>
    <row r="265" spans="1:8" ht="12.75">
      <c r="A265" s="344"/>
      <c r="B265" s="341"/>
      <c r="C265" s="342"/>
      <c r="D265" s="346"/>
      <c r="E265" s="430"/>
      <c r="F265" s="430"/>
      <c r="G265" s="352"/>
      <c r="H265" s="439">
        <f>SUM(H262:H264)</f>
        <v>7496.875</v>
      </c>
    </row>
    <row r="266" spans="1:8" ht="12.75">
      <c r="A266" s="353" t="s">
        <v>660</v>
      </c>
      <c r="B266" s="341"/>
      <c r="C266" s="342"/>
      <c r="D266" s="346"/>
      <c r="E266" s="344"/>
      <c r="F266" s="344"/>
      <c r="G266" s="354"/>
      <c r="H266" s="354"/>
    </row>
    <row r="267" spans="1:8" ht="12.75">
      <c r="A267" s="344"/>
      <c r="B267" s="349" t="s">
        <v>661</v>
      </c>
      <c r="C267" s="350" t="s">
        <v>15</v>
      </c>
      <c r="D267" s="351">
        <f>2063.15*1.25</f>
        <v>2578.9375</v>
      </c>
      <c r="E267" s="430">
        <v>1</v>
      </c>
      <c r="F267" s="430">
        <v>1</v>
      </c>
      <c r="G267" s="352">
        <v>1</v>
      </c>
      <c r="H267" s="379">
        <f>D267*G267</f>
        <v>2578.9375</v>
      </c>
    </row>
    <row r="268" spans="1:8" ht="12.75">
      <c r="A268" s="344"/>
      <c r="B268" s="341" t="s">
        <v>375</v>
      </c>
      <c r="C268" s="342" t="s">
        <v>21</v>
      </c>
      <c r="D268" s="346">
        <f>SUM(H267)*0.15</f>
        <v>386.840625</v>
      </c>
      <c r="E268" s="430">
        <v>1</v>
      </c>
      <c r="F268" s="430">
        <v>1</v>
      </c>
      <c r="G268" s="352">
        <v>1</v>
      </c>
      <c r="H268" s="379">
        <f>D268*G268</f>
        <v>386.840625</v>
      </c>
    </row>
    <row r="269" spans="1:8" ht="12.75">
      <c r="A269" s="344"/>
      <c r="B269" s="341"/>
      <c r="C269" s="342"/>
      <c r="D269" s="346"/>
      <c r="E269" s="344"/>
      <c r="F269" s="344"/>
      <c r="G269" s="354"/>
      <c r="H269" s="360">
        <f>SUM(H267:H268)</f>
        <v>2965.778125</v>
      </c>
    </row>
    <row r="270" spans="1:8" ht="12.75">
      <c r="A270" s="711" t="s">
        <v>466</v>
      </c>
      <c r="B270" s="711"/>
      <c r="C270" s="342"/>
      <c r="D270" s="346"/>
      <c r="E270" s="344"/>
      <c r="F270" s="344"/>
      <c r="G270" s="354"/>
      <c r="H270" s="354"/>
    </row>
    <row r="271" spans="1:8" ht="12.75" customHeight="1">
      <c r="A271" s="344"/>
      <c r="B271" s="440" t="s">
        <v>466</v>
      </c>
      <c r="C271" s="350" t="s">
        <v>15</v>
      </c>
      <c r="D271" s="441">
        <v>1012</v>
      </c>
      <c r="E271" s="430">
        <v>1</v>
      </c>
      <c r="F271" s="430">
        <v>1</v>
      </c>
      <c r="G271" s="352">
        <v>1</v>
      </c>
      <c r="H271" s="379">
        <f>D271*G271</f>
        <v>1012</v>
      </c>
    </row>
    <row r="272" spans="1:8" ht="12.75">
      <c r="A272" s="344"/>
      <c r="B272" s="341"/>
      <c r="C272" s="342"/>
      <c r="D272" s="346"/>
      <c r="E272" s="344"/>
      <c r="F272" s="344"/>
      <c r="G272" s="354"/>
      <c r="H272" s="360">
        <f>SUM(H271)</f>
        <v>1012</v>
      </c>
    </row>
    <row r="273" spans="1:8" ht="12.75">
      <c r="A273" s="712" t="s">
        <v>662</v>
      </c>
      <c r="B273" s="712"/>
      <c r="C273" s="342"/>
      <c r="D273" s="346"/>
      <c r="E273" s="442"/>
      <c r="F273" s="442"/>
      <c r="G273" s="354"/>
      <c r="H273" s="443"/>
    </row>
    <row r="274" spans="1:8" ht="24">
      <c r="A274" s="344"/>
      <c r="B274" s="402" t="s">
        <v>663</v>
      </c>
      <c r="C274" s="388" t="s">
        <v>121</v>
      </c>
      <c r="D274" s="386">
        <f>224.4*1.1</f>
        <v>246.84000000000003</v>
      </c>
      <c r="E274" s="430">
        <v>1</v>
      </c>
      <c r="F274" s="430">
        <v>1</v>
      </c>
      <c r="G274" s="338">
        <v>1</v>
      </c>
      <c r="H274" s="358">
        <f>G274*D274</f>
        <v>246.84000000000003</v>
      </c>
    </row>
    <row r="275" spans="1:8" ht="12.75">
      <c r="A275" s="344"/>
      <c r="B275" s="402" t="s">
        <v>664</v>
      </c>
      <c r="C275" s="388" t="s">
        <v>293</v>
      </c>
      <c r="D275" s="386">
        <v>232.14</v>
      </c>
      <c r="E275" s="430">
        <v>1</v>
      </c>
      <c r="F275" s="430">
        <v>1</v>
      </c>
      <c r="G275" s="338">
        <f>6/80</f>
        <v>0.075</v>
      </c>
      <c r="H275" s="358">
        <f>G275*D275</f>
        <v>17.4105</v>
      </c>
    </row>
    <row r="276" spans="1:8" ht="12.75" customHeight="1">
      <c r="A276" s="344"/>
      <c r="B276" s="402"/>
      <c r="C276" s="388"/>
      <c r="D276" s="386"/>
      <c r="E276" s="344"/>
      <c r="F276" s="344"/>
      <c r="G276" s="338"/>
      <c r="H276" s="404">
        <f>SUM(H274:H275)</f>
        <v>264.25050000000005</v>
      </c>
    </row>
    <row r="277" spans="1:8" ht="12.75" customHeight="1">
      <c r="A277" s="353" t="s">
        <v>467</v>
      </c>
      <c r="B277" s="402"/>
      <c r="C277" s="388"/>
      <c r="D277" s="386"/>
      <c r="E277" s="344"/>
      <c r="F277" s="344"/>
      <c r="G277" s="338"/>
      <c r="H277" s="358"/>
    </row>
    <row r="278" spans="1:8" ht="12.75">
      <c r="A278" s="344"/>
      <c r="B278" s="402" t="s">
        <v>665</v>
      </c>
      <c r="C278" s="388" t="s">
        <v>293</v>
      </c>
      <c r="D278" s="386">
        <f>4228</f>
        <v>4228</v>
      </c>
      <c r="E278" s="430">
        <v>1</v>
      </c>
      <c r="F278" s="430">
        <v>1</v>
      </c>
      <c r="G278" s="338">
        <v>1</v>
      </c>
      <c r="H278" s="358">
        <f>G278*D278</f>
        <v>4228</v>
      </c>
    </row>
    <row r="279" spans="1:8" ht="24">
      <c r="A279" s="344"/>
      <c r="B279" s="402" t="s">
        <v>666</v>
      </c>
      <c r="C279" s="388" t="s">
        <v>293</v>
      </c>
      <c r="D279" s="386">
        <v>82.8</v>
      </c>
      <c r="E279" s="430">
        <v>1</v>
      </c>
      <c r="F279" s="430">
        <v>1</v>
      </c>
      <c r="G279" s="338">
        <v>5</v>
      </c>
      <c r="H279" s="358">
        <f>G279*D279</f>
        <v>414</v>
      </c>
    </row>
    <row r="280" spans="1:8" ht="24">
      <c r="A280" s="344"/>
      <c r="B280" s="402" t="s">
        <v>667</v>
      </c>
      <c r="C280" s="388" t="s">
        <v>121</v>
      </c>
      <c r="D280" s="386">
        <v>85.272</v>
      </c>
      <c r="E280" s="430">
        <v>1</v>
      </c>
      <c r="F280" s="430">
        <v>1</v>
      </c>
      <c r="G280" s="338">
        <v>13.333333333333334</v>
      </c>
      <c r="H280" s="358">
        <f>G280*D280</f>
        <v>1136.96</v>
      </c>
    </row>
    <row r="281" spans="1:8" ht="12.75">
      <c r="A281" s="344"/>
      <c r="B281" s="402" t="s">
        <v>221</v>
      </c>
      <c r="C281" s="388" t="s">
        <v>21</v>
      </c>
      <c r="D281" s="386">
        <f>SUM(H278:H279)*0.1</f>
        <v>464.20000000000005</v>
      </c>
      <c r="E281" s="430">
        <v>1</v>
      </c>
      <c r="F281" s="430">
        <v>1</v>
      </c>
      <c r="G281" s="338">
        <v>1</v>
      </c>
      <c r="H281" s="358">
        <f>G281*D281</f>
        <v>464.20000000000005</v>
      </c>
    </row>
    <row r="282" spans="1:8" ht="12.75" customHeight="1">
      <c r="A282" s="344"/>
      <c r="B282" s="402"/>
      <c r="C282" s="388"/>
      <c r="D282" s="386"/>
      <c r="E282" s="344"/>
      <c r="F282" s="344"/>
      <c r="G282" s="338"/>
      <c r="H282" s="404">
        <f>SUM(H278:H281)</f>
        <v>6243.16</v>
      </c>
    </row>
    <row r="283" spans="1:8" ht="12.75">
      <c r="A283" s="710" t="s">
        <v>762</v>
      </c>
      <c r="B283" s="710"/>
      <c r="C283" s="388"/>
      <c r="D283" s="386"/>
      <c r="E283" s="344"/>
      <c r="F283" s="344"/>
      <c r="G283" s="338"/>
      <c r="H283" s="358"/>
    </row>
    <row r="284" spans="1:8" ht="12.75">
      <c r="A284" s="344"/>
      <c r="B284" s="402" t="s">
        <v>761</v>
      </c>
      <c r="C284" s="388" t="s">
        <v>293</v>
      </c>
      <c r="D284" s="386">
        <v>650.52</v>
      </c>
      <c r="E284" s="430">
        <v>1</v>
      </c>
      <c r="F284" s="430">
        <v>1</v>
      </c>
      <c r="G284" s="338">
        <v>1</v>
      </c>
      <c r="H284" s="358">
        <f>G284*D284</f>
        <v>650.52</v>
      </c>
    </row>
    <row r="285" spans="1:8" ht="24">
      <c r="A285" s="344"/>
      <c r="B285" s="402" t="s">
        <v>668</v>
      </c>
      <c r="C285" s="388" t="s">
        <v>293</v>
      </c>
      <c r="D285" s="386">
        <v>379.27</v>
      </c>
      <c r="E285" s="430">
        <v>1</v>
      </c>
      <c r="F285" s="430">
        <v>1</v>
      </c>
      <c r="G285" s="338">
        <v>1</v>
      </c>
      <c r="H285" s="358">
        <f>G285*D285</f>
        <v>379.27</v>
      </c>
    </row>
    <row r="286" spans="1:8" ht="36">
      <c r="A286" s="344"/>
      <c r="B286" s="402" t="s">
        <v>669</v>
      </c>
      <c r="C286" s="388" t="s">
        <v>293</v>
      </c>
      <c r="D286" s="386">
        <v>550</v>
      </c>
      <c r="E286" s="430">
        <v>1</v>
      </c>
      <c r="F286" s="430">
        <v>1</v>
      </c>
      <c r="G286" s="338">
        <v>1</v>
      </c>
      <c r="H286" s="358">
        <f>G286*D286</f>
        <v>550</v>
      </c>
    </row>
    <row r="287" spans="1:8" ht="12.75">
      <c r="A287" s="344"/>
      <c r="B287" s="402" t="s">
        <v>507</v>
      </c>
      <c r="C287" s="388" t="s">
        <v>295</v>
      </c>
      <c r="D287" s="386">
        <v>685</v>
      </c>
      <c r="E287" s="430">
        <v>1</v>
      </c>
      <c r="F287" s="430">
        <v>1</v>
      </c>
      <c r="G287" s="338">
        <v>1</v>
      </c>
      <c r="H287" s="358">
        <f>G287*D287</f>
        <v>685</v>
      </c>
    </row>
    <row r="288" spans="1:8" ht="12.75">
      <c r="A288" s="344"/>
      <c r="B288" s="341"/>
      <c r="C288" s="342"/>
      <c r="D288" s="346"/>
      <c r="E288" s="344"/>
      <c r="F288" s="344"/>
      <c r="G288" s="354"/>
      <c r="H288" s="360">
        <f>SUM(H284:H287)</f>
        <v>2264.79</v>
      </c>
    </row>
    <row r="289" spans="1:8" ht="12.75" customHeight="1">
      <c r="A289" s="710" t="s">
        <v>670</v>
      </c>
      <c r="B289" s="710"/>
      <c r="C289" s="446"/>
      <c r="D289" s="355"/>
      <c r="E289" s="447"/>
      <c r="F289" s="447"/>
      <c r="G289" s="354"/>
      <c r="H289" s="354"/>
    </row>
    <row r="290" spans="1:8" ht="12.75">
      <c r="A290" s="344"/>
      <c r="B290" s="341" t="s">
        <v>671</v>
      </c>
      <c r="C290" s="342" t="s">
        <v>293</v>
      </c>
      <c r="D290" s="448">
        <v>4776</v>
      </c>
      <c r="E290" s="430">
        <v>1</v>
      </c>
      <c r="F290" s="430">
        <v>1</v>
      </c>
      <c r="G290" s="449">
        <v>1</v>
      </c>
      <c r="H290" s="450">
        <f>(D290*G290)</f>
        <v>4776</v>
      </c>
    </row>
    <row r="291" spans="1:8" ht="12.75">
      <c r="A291" s="344"/>
      <c r="B291" s="341"/>
      <c r="C291" s="342"/>
      <c r="D291" s="448"/>
      <c r="E291" s="430"/>
      <c r="F291" s="430"/>
      <c r="G291" s="449"/>
      <c r="H291" s="503">
        <f>SUM(H290)</f>
        <v>4776</v>
      </c>
    </row>
    <row r="292" spans="1:8" ht="12.75">
      <c r="A292" s="353" t="s">
        <v>469</v>
      </c>
      <c r="B292" s="341"/>
      <c r="C292" s="342"/>
      <c r="D292" s="448"/>
      <c r="E292" s="430"/>
      <c r="F292" s="430"/>
      <c r="G292" s="449"/>
      <c r="H292" s="450"/>
    </row>
    <row r="293" spans="1:8" ht="12.75">
      <c r="A293" s="344"/>
      <c r="B293" s="341" t="s">
        <v>672</v>
      </c>
      <c r="C293" s="342" t="s">
        <v>293</v>
      </c>
      <c r="D293" s="448">
        <v>516.2856</v>
      </c>
      <c r="E293" s="430">
        <v>1</v>
      </c>
      <c r="F293" s="430">
        <v>1</v>
      </c>
      <c r="G293" s="449">
        <v>1</v>
      </c>
      <c r="H293" s="450">
        <f>(D293*G293)</f>
        <v>516.2856</v>
      </c>
    </row>
    <row r="294" spans="1:8" ht="12.75">
      <c r="A294" s="344"/>
      <c r="B294" s="341"/>
      <c r="C294" s="342"/>
      <c r="D294" s="448"/>
      <c r="E294" s="430"/>
      <c r="F294" s="430"/>
      <c r="G294" s="449"/>
      <c r="H294" s="360">
        <f>SUM(H293:H293)</f>
        <v>516.2856</v>
      </c>
    </row>
    <row r="295" spans="1:8" ht="12.75" customHeight="1">
      <c r="A295" s="710" t="s">
        <v>673</v>
      </c>
      <c r="B295" s="710"/>
      <c r="C295" s="446"/>
      <c r="D295" s="355"/>
      <c r="E295" s="430"/>
      <c r="F295" s="430"/>
      <c r="G295" s="354"/>
      <c r="H295" s="451"/>
    </row>
    <row r="296" spans="1:8" ht="12.75">
      <c r="A296" s="344"/>
      <c r="B296" s="341" t="s">
        <v>674</v>
      </c>
      <c r="C296" s="342" t="s">
        <v>293</v>
      </c>
      <c r="D296" s="448">
        <f>150*1.75</f>
        <v>262.5</v>
      </c>
      <c r="E296" s="430">
        <v>1</v>
      </c>
      <c r="F296" s="430">
        <v>1</v>
      </c>
      <c r="G296" s="449">
        <v>1</v>
      </c>
      <c r="H296" s="450">
        <f>(D296*G296)</f>
        <v>262.5</v>
      </c>
    </row>
    <row r="297" spans="1:8" ht="12.75">
      <c r="A297" s="344"/>
      <c r="B297" s="341" t="s">
        <v>675</v>
      </c>
      <c r="C297" s="342" t="s">
        <v>293</v>
      </c>
      <c r="D297" s="448">
        <f>225*1.75</f>
        <v>393.75</v>
      </c>
      <c r="E297" s="430">
        <v>1</v>
      </c>
      <c r="F297" s="430">
        <v>1</v>
      </c>
      <c r="G297" s="449">
        <v>1</v>
      </c>
      <c r="H297" s="450">
        <f>(D297*G297)</f>
        <v>393.75</v>
      </c>
    </row>
    <row r="298" spans="1:8" ht="12.75">
      <c r="A298" s="344"/>
      <c r="B298" s="341"/>
      <c r="C298" s="342"/>
      <c r="D298" s="346"/>
      <c r="E298" s="344"/>
      <c r="F298" s="344"/>
      <c r="G298" s="354"/>
      <c r="H298" s="360">
        <f>SUM(H296:H297)</f>
        <v>656.25</v>
      </c>
    </row>
    <row r="299" spans="1:8" ht="12.75">
      <c r="A299" s="710" t="s">
        <v>673</v>
      </c>
      <c r="B299" s="710"/>
      <c r="C299" s="446"/>
      <c r="D299" s="355"/>
      <c r="E299" s="430"/>
      <c r="F299" s="430"/>
      <c r="G299" s="354"/>
      <c r="H299" s="451"/>
    </row>
    <row r="300" spans="1:8" ht="12.75">
      <c r="A300" s="344"/>
      <c r="B300" s="341" t="s">
        <v>674</v>
      </c>
      <c r="C300" s="342" t="s">
        <v>293</v>
      </c>
      <c r="D300" s="448">
        <f>150*1.75</f>
        <v>262.5</v>
      </c>
      <c r="E300" s="430">
        <v>1</v>
      </c>
      <c r="F300" s="430">
        <v>1</v>
      </c>
      <c r="G300" s="449">
        <v>1</v>
      </c>
      <c r="H300" s="450">
        <f>(D300*G300)</f>
        <v>262.5</v>
      </c>
    </row>
    <row r="301" spans="1:8" ht="12.75">
      <c r="A301" s="344"/>
      <c r="B301" s="341" t="s">
        <v>675</v>
      </c>
      <c r="C301" s="342" t="s">
        <v>293</v>
      </c>
      <c r="D301" s="448">
        <f>225*1.75</f>
        <v>393.75</v>
      </c>
      <c r="E301" s="430">
        <v>1</v>
      </c>
      <c r="F301" s="430">
        <v>1</v>
      </c>
      <c r="G301" s="449">
        <v>1</v>
      </c>
      <c r="H301" s="450">
        <f>(D301*G301)</f>
        <v>393.75</v>
      </c>
    </row>
    <row r="302" spans="1:8" ht="12.75">
      <c r="A302" s="344"/>
      <c r="B302" s="341"/>
      <c r="C302" s="342"/>
      <c r="D302" s="346"/>
      <c r="E302" s="344"/>
      <c r="F302" s="344"/>
      <c r="G302" s="354"/>
      <c r="H302" s="360">
        <f>SUM(H300:H301)</f>
        <v>656.25</v>
      </c>
    </row>
  </sheetData>
  <sheetProtection/>
  <mergeCells count="34">
    <mergeCell ref="F1:G1"/>
    <mergeCell ref="B2:H2"/>
    <mergeCell ref="C3:D3"/>
    <mergeCell ref="E3:H3"/>
    <mergeCell ref="C4:D4"/>
    <mergeCell ref="F4:H4"/>
    <mergeCell ref="A73:C73"/>
    <mergeCell ref="A131:B131"/>
    <mergeCell ref="A136:B136"/>
    <mergeCell ref="A65:C65"/>
    <mergeCell ref="E5:G5"/>
    <mergeCell ref="A20:B20"/>
    <mergeCell ref="A8:H8"/>
    <mergeCell ref="A9:B9"/>
    <mergeCell ref="A31:B31"/>
    <mergeCell ref="A35:B35"/>
    <mergeCell ref="A289:B289"/>
    <mergeCell ref="A295:B295"/>
    <mergeCell ref="A243:B243"/>
    <mergeCell ref="A256:B256"/>
    <mergeCell ref="A299:B299"/>
    <mergeCell ref="A270:B270"/>
    <mergeCell ref="A273:B273"/>
    <mergeCell ref="A283:B283"/>
    <mergeCell ref="A46:B46"/>
    <mergeCell ref="A55:B55"/>
    <mergeCell ref="A200:B200"/>
    <mergeCell ref="A239:B239"/>
    <mergeCell ref="A119:B119"/>
    <mergeCell ref="A209:B209"/>
    <mergeCell ref="A220:B220"/>
    <mergeCell ref="A190:B190"/>
    <mergeCell ref="A59:C59"/>
    <mergeCell ref="A50:B50"/>
  </mergeCells>
  <hyperlinks>
    <hyperlink ref="B7" r:id="rId1" display="remotercsrl@gmail.com"/>
  </hyperlinks>
  <printOptions/>
  <pageMargins left="0.748031496062992" right="0.748031496062992" top="0.984251968503937" bottom="0.984251968503937" header="0.511811023622047" footer="0.511811023622047"/>
  <pageSetup horizontalDpi="600" verticalDpi="600" orientation="portrait" scale="87"/>
  <headerFooter alignWithMargins="0">
    <oddFooter>&amp;LAnalisis de costos Instalacion Electrica 
&amp;C&amp;P de &amp;N&amp;R
</oddFooter>
  </headerFooter>
  <ignoredErrors>
    <ignoredError sqref="H99 D185 D171:D174 H103:H106"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Elvira</dc:creator>
  <cp:keywords/>
  <dc:description/>
  <cp:lastModifiedBy>EMMANUEL</cp:lastModifiedBy>
  <cp:lastPrinted>2022-02-15T12:35:50Z</cp:lastPrinted>
  <dcterms:created xsi:type="dcterms:W3CDTF">2007-12-19T00:28:12Z</dcterms:created>
  <dcterms:modified xsi:type="dcterms:W3CDTF">2022-02-18T11:05:54Z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